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refinery74.sharepoint.com/sites/canteros/Shared Documents/2023/_MoH Report/"/>
    </mc:Choice>
  </mc:AlternateContent>
  <xr:revisionPtr revIDLastSave="5619" documentId="8_{5771E2C3-0DDC-48C2-9E4E-653C5DA2A48A}" xr6:coauthVersionLast="47" xr6:coauthVersionMax="47" xr10:uidLastSave="{F754358A-E1C6-4E08-A70E-B13FFC7F53CA}"/>
  <bookViews>
    <workbookView xWindow="22944" yWindow="0" windowWidth="23232" windowHeight="12696" xr2:uid="{00000000-000D-0000-FFFF-FFFF00000000}"/>
  </bookViews>
  <sheets>
    <sheet name="Pipe tobacco" sheetId="3" r:id="rId1"/>
    <sheet name="Cigars" sheetId="4" r:id="rId2"/>
    <sheet name="Cigarillos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9" i="4" l="1"/>
  <c r="D38" i="4" l="1"/>
  <c r="D836" i="4"/>
  <c r="D833" i="4"/>
  <c r="D828" i="4"/>
  <c r="D826" i="4"/>
  <c r="D824" i="4"/>
  <c r="E876" i="4"/>
  <c r="E874" i="4"/>
  <c r="D871" i="4"/>
  <c r="E870" i="4"/>
  <c r="D870" i="4"/>
  <c r="E869" i="4"/>
  <c r="E868" i="4"/>
  <c r="E866" i="4"/>
  <c r="E863" i="4"/>
  <c r="D861" i="4"/>
  <c r="E856" i="4"/>
  <c r="E855" i="4"/>
  <c r="E854" i="4"/>
  <c r="E848" i="4"/>
  <c r="E847" i="4"/>
  <c r="E846" i="4"/>
  <c r="E845" i="4"/>
  <c r="E844" i="4"/>
  <c r="E843" i="4"/>
  <c r="E841" i="4"/>
  <c r="E840" i="4"/>
  <c r="E837" i="4"/>
  <c r="D835" i="4"/>
  <c r="D830" i="4"/>
  <c r="E828" i="4"/>
  <c r="D825" i="4"/>
  <c r="E833" i="4"/>
  <c r="E831" i="4"/>
  <c r="E826" i="4"/>
  <c r="E824" i="4"/>
  <c r="D823" i="4"/>
  <c r="E820" i="4"/>
  <c r="E819" i="4"/>
  <c r="D821" i="4"/>
  <c r="E815" i="4"/>
  <c r="E814" i="4"/>
  <c r="E807" i="4"/>
  <c r="E806" i="4"/>
  <c r="D808" i="4"/>
  <c r="E805" i="4"/>
  <c r="D805" i="4"/>
  <c r="E804" i="4"/>
  <c r="E802" i="4"/>
  <c r="E801" i="4"/>
  <c r="D800" i="4"/>
  <c r="E797" i="4"/>
  <c r="E795" i="4"/>
  <c r="E796" i="4"/>
  <c r="E794" i="4"/>
  <c r="E791" i="4"/>
  <c r="E788" i="4"/>
  <c r="E786" i="4"/>
  <c r="E785" i="4"/>
  <c r="E784" i="4"/>
  <c r="E783" i="4"/>
  <c r="D781" i="4"/>
  <c r="D780" i="4"/>
  <c r="E779" i="4"/>
  <c r="E778" i="4"/>
  <c r="D778" i="4"/>
  <c r="D777" i="4"/>
  <c r="E771" i="4"/>
  <c r="E769" i="4"/>
  <c r="D776" i="4"/>
  <c r="D772" i="4"/>
  <c r="D771" i="4"/>
  <c r="E768" i="4"/>
  <c r="E765" i="4"/>
  <c r="D767" i="4"/>
  <c r="D766" i="4"/>
  <c r="E760" i="4"/>
  <c r="E759" i="4"/>
  <c r="D764" i="4"/>
  <c r="D762" i="4"/>
  <c r="D759" i="4"/>
  <c r="D758" i="4"/>
  <c r="E757" i="4"/>
  <c r="D757" i="4"/>
  <c r="E756" i="4"/>
  <c r="E755" i="4"/>
  <c r="E754" i="4"/>
  <c r="D753" i="4"/>
  <c r="E752" i="4"/>
  <c r="D751" i="4"/>
  <c r="D745" i="4"/>
  <c r="D744" i="4"/>
  <c r="E741" i="4"/>
  <c r="E740" i="4"/>
  <c r="E737" i="4"/>
  <c r="E732" i="4"/>
  <c r="E731" i="4"/>
  <c r="E730" i="4"/>
  <c r="E729" i="4"/>
  <c r="D739" i="4"/>
  <c r="D737" i="4"/>
  <c r="D733" i="4"/>
  <c r="D732" i="4"/>
  <c r="E727" i="4"/>
  <c r="E726" i="4"/>
  <c r="E724" i="4"/>
  <c r="D728" i="4"/>
  <c r="E27" i="5"/>
  <c r="E720" i="4"/>
  <c r="D720" i="4"/>
  <c r="D719" i="4"/>
  <c r="E716" i="4"/>
  <c r="E715" i="4"/>
  <c r="E713" i="4"/>
  <c r="E712" i="4"/>
  <c r="D714" i="4"/>
  <c r="D713" i="4"/>
  <c r="D711" i="4"/>
  <c r="D709" i="4"/>
  <c r="E708" i="4"/>
  <c r="D708" i="4"/>
  <c r="D707" i="4"/>
  <c r="D705" i="4"/>
  <c r="E704" i="4"/>
  <c r="E703" i="4"/>
  <c r="E702" i="4"/>
  <c r="D704" i="4"/>
  <c r="D703" i="4"/>
  <c r="D702" i="4"/>
  <c r="D701" i="4"/>
  <c r="E700" i="4"/>
  <c r="D700" i="4"/>
  <c r="E698" i="4"/>
  <c r="D697" i="4"/>
  <c r="E696" i="4"/>
  <c r="D696" i="4"/>
  <c r="D695" i="4"/>
  <c r="E694" i="4"/>
  <c r="D694" i="4"/>
  <c r="E690" i="4"/>
  <c r="D693" i="4"/>
  <c r="D692" i="4"/>
  <c r="D691" i="4"/>
  <c r="D689" i="4"/>
  <c r="E687" i="4"/>
  <c r="D688" i="4"/>
  <c r="D687" i="4"/>
  <c r="D686" i="4"/>
  <c r="E685" i="4"/>
  <c r="E684" i="4"/>
  <c r="E683" i="4"/>
  <c r="D685" i="4"/>
  <c r="D684" i="4"/>
  <c r="D683" i="4"/>
  <c r="D682" i="4"/>
  <c r="D681" i="4"/>
  <c r="D680" i="4"/>
  <c r="D678" i="4"/>
  <c r="D677" i="4"/>
  <c r="D676" i="4"/>
  <c r="E675" i="4"/>
  <c r="E674" i="4"/>
  <c r="E673" i="4"/>
  <c r="E670" i="4"/>
  <c r="D671" i="4"/>
  <c r="D670" i="4"/>
  <c r="D669" i="4"/>
  <c r="D668" i="4"/>
  <c r="D667" i="4"/>
  <c r="D666" i="4"/>
  <c r="D662" i="4"/>
  <c r="E661" i="4"/>
  <c r="D661" i="4"/>
  <c r="D660" i="4"/>
  <c r="E659" i="4"/>
  <c r="E658" i="4"/>
  <c r="D658" i="4"/>
  <c r="E657" i="4"/>
  <c r="E656" i="4"/>
  <c r="D656" i="4"/>
  <c r="E652" i="4"/>
  <c r="E651" i="4"/>
  <c r="E650" i="4"/>
  <c r="E647" i="4"/>
  <c r="D653" i="4"/>
  <c r="D650" i="4"/>
  <c r="D649" i="4"/>
  <c r="D648" i="4"/>
  <c r="D647" i="4"/>
  <c r="D646" i="4"/>
  <c r="D645" i="4"/>
  <c r="E644" i="4"/>
  <c r="E643" i="4"/>
  <c r="E642" i="4"/>
  <c r="E641" i="4"/>
  <c r="E640" i="4"/>
  <c r="E639" i="4"/>
  <c r="E638" i="4"/>
  <c r="E636" i="4"/>
  <c r="E634" i="4"/>
  <c r="D636" i="4"/>
  <c r="D633" i="4"/>
  <c r="D632" i="4"/>
  <c r="D630" i="4"/>
  <c r="D628" i="4"/>
  <c r="D627" i="4"/>
  <c r="D626" i="4"/>
  <c r="E624" i="4"/>
  <c r="D620" i="4"/>
  <c r="E619" i="4"/>
  <c r="E617" i="4"/>
  <c r="E618" i="4"/>
  <c r="D618" i="4"/>
  <c r="E615" i="4"/>
  <c r="D614" i="4" l="1"/>
  <c r="E610" i="4"/>
  <c r="E609" i="4"/>
  <c r="D610" i="4"/>
  <c r="D609" i="4"/>
  <c r="D611" i="4"/>
  <c r="E604" i="4"/>
  <c r="E600" i="4"/>
  <c r="E598" i="4"/>
  <c r="E597" i="4"/>
  <c r="D607" i="4"/>
  <c r="E592" i="4"/>
  <c r="E591" i="4"/>
  <c r="E590" i="4"/>
  <c r="D596" i="4"/>
  <c r="D595" i="4"/>
  <c r="D594" i="4"/>
  <c r="D589" i="4"/>
  <c r="D587" i="4"/>
  <c r="D585" i="4"/>
  <c r="D583" i="4"/>
  <c r="D581" i="4"/>
  <c r="D580" i="4"/>
  <c r="D579" i="4"/>
  <c r="D577" i="4"/>
  <c r="E574" i="4"/>
  <c r="D572" i="4"/>
  <c r="D570" i="4"/>
  <c r="E569" i="4"/>
  <c r="D569" i="4"/>
  <c r="D568" i="4"/>
  <c r="D566" i="4"/>
  <c r="D565" i="4"/>
  <c r="E563" i="4"/>
  <c r="D563" i="4"/>
  <c r="D560" i="4"/>
  <c r="D559" i="4"/>
  <c r="E558" i="4"/>
  <c r="E555" i="4"/>
  <c r="E554" i="4"/>
  <c r="D553" i="4"/>
  <c r="E552" i="4"/>
  <c r="D551" i="4"/>
  <c r="E547" i="4"/>
  <c r="D547" i="4"/>
  <c r="D546" i="4"/>
  <c r="E548" i="4"/>
  <c r="D543" i="4"/>
  <c r="D539" i="4"/>
  <c r="D538" i="4"/>
  <c r="E536" i="4"/>
  <c r="D534" i="4"/>
  <c r="D533" i="4"/>
  <c r="D532" i="4"/>
  <c r="D531" i="4"/>
  <c r="D530" i="4"/>
  <c r="D529" i="4"/>
  <c r="E526" i="4"/>
  <c r="D528" i="4"/>
  <c r="D527" i="4"/>
  <c r="D526" i="4"/>
  <c r="D525" i="4"/>
  <c r="E524" i="4"/>
  <c r="E523" i="4"/>
  <c r="E521" i="4"/>
  <c r="D524" i="4"/>
  <c r="D522" i="4"/>
  <c r="D521" i="4"/>
  <c r="E520" i="4"/>
  <c r="D520" i="4"/>
  <c r="D519" i="4"/>
  <c r="D518" i="4"/>
  <c r="D517" i="4"/>
  <c r="D516" i="4"/>
  <c r="D515" i="4"/>
  <c r="E513" i="4"/>
  <c r="D513" i="4"/>
  <c r="E512" i="4"/>
  <c r="E511" i="4"/>
  <c r="E509" i="4"/>
  <c r="E508" i="4"/>
  <c r="D508" i="4"/>
  <c r="E504" i="4"/>
  <c r="E501" i="4"/>
  <c r="D502" i="4"/>
  <c r="D501" i="4"/>
  <c r="E500" i="4"/>
  <c r="E499" i="4"/>
  <c r="E498" i="4"/>
  <c r="D500" i="4"/>
  <c r="D499" i="4"/>
  <c r="D498" i="4"/>
  <c r="E496" i="4"/>
  <c r="E495" i="4"/>
  <c r="D495" i="4"/>
  <c r="E494" i="4"/>
  <c r="E493" i="4"/>
  <c r="D493" i="4"/>
  <c r="E491" i="4"/>
  <c r="D479" i="4"/>
  <c r="E490" i="4"/>
  <c r="D488" i="4"/>
  <c r="E486" i="4"/>
  <c r="C478" i="4"/>
  <c r="E481" i="4"/>
  <c r="D482" i="4"/>
  <c r="D481" i="4"/>
  <c r="E480" i="4"/>
  <c r="E478" i="4"/>
  <c r="E474" i="4"/>
  <c r="E473" i="4"/>
  <c r="E470" i="4"/>
  <c r="E467" i="4"/>
  <c r="E466" i="4"/>
  <c r="E464" i="4"/>
  <c r="E461" i="4"/>
  <c r="E458" i="4"/>
  <c r="E457" i="4"/>
  <c r="D458" i="4"/>
  <c r="E456" i="4"/>
  <c r="E455" i="4"/>
  <c r="E453" i="4"/>
  <c r="D453" i="4"/>
  <c r="E452" i="4"/>
  <c r="E449" i="4"/>
  <c r="D439" i="4"/>
  <c r="E438" i="4"/>
  <c r="D438" i="4"/>
  <c r="E437" i="4"/>
  <c r="D436" i="4"/>
  <c r="E433" i="4"/>
  <c r="D432" i="4"/>
  <c r="D431" i="4"/>
  <c r="E429" i="4"/>
  <c r="E428" i="4"/>
  <c r="E427" i="4"/>
  <c r="E425" i="4"/>
  <c r="E417" i="4"/>
  <c r="D414" i="4"/>
  <c r="D413" i="4"/>
  <c r="E412" i="4"/>
  <c r="D412" i="4"/>
  <c r="D411" i="4"/>
  <c r="E410" i="4"/>
  <c r="D410" i="4"/>
  <c r="E407" i="4"/>
  <c r="E406" i="4"/>
  <c r="D406" i="4"/>
  <c r="D405" i="4"/>
  <c r="E404" i="4"/>
  <c r="E403" i="4"/>
  <c r="E402" i="4"/>
  <c r="D399" i="4"/>
  <c r="D398" i="4"/>
  <c r="D392" i="4"/>
  <c r="D391" i="4"/>
  <c r="D390" i="4"/>
  <c r="E388" i="4"/>
  <c r="D384" i="4"/>
  <c r="E379" i="4"/>
  <c r="E378" i="4"/>
  <c r="E377" i="4"/>
  <c r="E374" i="4"/>
  <c r="E373" i="4"/>
  <c r="E372" i="4"/>
  <c r="E371" i="4"/>
  <c r="D371" i="4"/>
  <c r="D370" i="4"/>
  <c r="D369" i="4"/>
  <c r="D368" i="4"/>
  <c r="E367" i="4"/>
  <c r="E365" i="4"/>
  <c r="E362" i="4"/>
  <c r="D359" i="4"/>
  <c r="E356" i="4"/>
  <c r="E355" i="4"/>
  <c r="E353" i="4"/>
  <c r="E346" i="4"/>
  <c r="E343" i="4"/>
  <c r="D342" i="4"/>
  <c r="D341" i="4"/>
  <c r="E337" i="4"/>
  <c r="E336" i="4"/>
  <c r="D334" i="4"/>
  <c r="D333" i="4"/>
  <c r="D332" i="4"/>
  <c r="E326" i="4"/>
  <c r="D326" i="4"/>
  <c r="D325" i="4"/>
  <c r="D324" i="4"/>
  <c r="E322" i="4"/>
  <c r="D322" i="4"/>
  <c r="D321" i="4"/>
  <c r="E320" i="4"/>
  <c r="D320" i="4"/>
  <c r="E316" i="4"/>
  <c r="E314" i="4"/>
  <c r="D316" i="4"/>
  <c r="D315" i="4"/>
  <c r="E312" i="4"/>
  <c r="E311" i="4"/>
  <c r="D311" i="4"/>
  <c r="E304" i="4"/>
  <c r="D304" i="4"/>
  <c r="E303" i="4"/>
  <c r="E302" i="4"/>
  <c r="D302" i="4"/>
  <c r="E301" i="4"/>
  <c r="E298" i="4"/>
  <c r="E296" i="4"/>
  <c r="E295" i="4"/>
  <c r="E294" i="4"/>
  <c r="D293" i="4"/>
  <c r="D291" i="4"/>
  <c r="E289" i="4"/>
  <c r="E287" i="4"/>
  <c r="E286" i="4"/>
  <c r="E284" i="4"/>
  <c r="E283" i="4"/>
  <c r="E282" i="4"/>
  <c r="E278" i="4"/>
  <c r="E276" i="4"/>
  <c r="E274" i="4"/>
  <c r="E273" i="4"/>
  <c r="E272" i="4"/>
  <c r="D271" i="4"/>
  <c r="E263" i="4"/>
  <c r="E262" i="4"/>
  <c r="E260" i="4"/>
  <c r="E257" i="4"/>
  <c r="E255" i="4"/>
  <c r="E251" i="4"/>
  <c r="E250" i="4"/>
  <c r="E249" i="4"/>
  <c r="E248" i="4"/>
  <c r="E245" i="4"/>
  <c r="E242" i="4"/>
  <c r="E241" i="4"/>
  <c r="E240" i="4"/>
  <c r="E239" i="4"/>
  <c r="E238" i="4"/>
  <c r="E234" i="4"/>
  <c r="E233" i="4"/>
  <c r="E231" i="4"/>
  <c r="E230" i="4"/>
  <c r="E226" i="4"/>
  <c r="E224" i="4"/>
  <c r="E222" i="4"/>
  <c r="E221" i="4"/>
  <c r="E218" i="4"/>
  <c r="E217" i="4"/>
  <c r="E215" i="4"/>
  <c r="E213" i="4"/>
  <c r="E212" i="4"/>
  <c r="D207" i="4"/>
  <c r="E204" i="4"/>
  <c r="E203" i="4"/>
  <c r="E201" i="4"/>
  <c r="E200" i="4"/>
  <c r="E197" i="4"/>
  <c r="E196" i="4"/>
  <c r="E195" i="4"/>
  <c r="E192" i="4"/>
  <c r="E189" i="4"/>
  <c r="E187" i="4"/>
  <c r="E180" i="4"/>
  <c r="E179" i="4"/>
  <c r="E178" i="4"/>
  <c r="E175" i="4"/>
  <c r="E166" i="4"/>
  <c r="E162" i="4"/>
  <c r="E161" i="4"/>
  <c r="E157" i="4"/>
  <c r="E156" i="4"/>
  <c r="E154" i="4"/>
  <c r="E153" i="4"/>
  <c r="E152" i="4"/>
  <c r="E150" i="4"/>
  <c r="E147" i="4"/>
  <c r="E146" i="4"/>
  <c r="D149" i="4"/>
  <c r="E145" i="4"/>
  <c r="D145" i="4"/>
  <c r="E144" i="4"/>
  <c r="E141" i="4"/>
  <c r="E140" i="4"/>
  <c r="E139" i="4"/>
  <c r="E132" i="4"/>
  <c r="E131" i="4"/>
  <c r="E130" i="4"/>
  <c r="E134" i="4"/>
  <c r="E129" i="4"/>
  <c r="E128" i="4"/>
  <c r="D127" i="4"/>
  <c r="D123" i="4"/>
  <c r="E121" i="4"/>
  <c r="D116" i="4"/>
  <c r="D115" i="4"/>
  <c r="D114" i="4"/>
  <c r="E112" i="4"/>
  <c r="E110" i="4"/>
  <c r="E113" i="4"/>
  <c r="E107" i="4"/>
  <c r="E101" i="4"/>
  <c r="E99" i="4"/>
  <c r="E97" i="4"/>
  <c r="E96" i="4"/>
  <c r="D94" i="4"/>
  <c r="D93" i="4"/>
  <c r="D92" i="4"/>
  <c r="D91" i="4"/>
  <c r="D89" i="4"/>
  <c r="D88" i="4"/>
  <c r="D87" i="4"/>
  <c r="D86" i="4"/>
  <c r="E84" i="4"/>
  <c r="E83" i="4"/>
  <c r="E81" i="4"/>
  <c r="D81" i="4"/>
  <c r="D80" i="4"/>
  <c r="E78" i="4"/>
  <c r="E77" i="4"/>
  <c r="E76" i="4"/>
  <c r="E69" i="4"/>
  <c r="D77" i="4"/>
  <c r="D75" i="4"/>
  <c r="D74" i="4"/>
  <c r="D73" i="4"/>
  <c r="D70" i="4"/>
  <c r="D69" i="4"/>
  <c r="D68" i="4"/>
  <c r="E67" i="4"/>
  <c r="D67" i="4"/>
  <c r="D65" i="4"/>
  <c r="D63" i="4"/>
  <c r="D62" i="4"/>
  <c r="D61" i="4"/>
  <c r="D60" i="4"/>
  <c r="D59" i="4"/>
  <c r="E57" i="4"/>
  <c r="E56" i="4"/>
  <c r="D56" i="4"/>
  <c r="D54" i="4"/>
  <c r="E53" i="4"/>
  <c r="E52" i="4"/>
  <c r="E45" i="4"/>
  <c r="D41" i="4"/>
  <c r="D40" i="4"/>
  <c r="E35" i="4"/>
  <c r="E33" i="4"/>
  <c r="E30" i="4"/>
  <c r="D34" i="4"/>
  <c r="D33" i="4"/>
  <c r="D32" i="4"/>
  <c r="D31" i="4"/>
  <c r="D30" i="4"/>
  <c r="E29" i="4"/>
  <c r="E27" i="4"/>
  <c r="D29" i="4"/>
  <c r="D28" i="4"/>
  <c r="D26" i="4"/>
  <c r="D24" i="4"/>
  <c r="D23" i="4"/>
  <c r="D25" i="5"/>
  <c r="D23" i="5"/>
  <c r="D21" i="5"/>
  <c r="D19" i="5"/>
  <c r="E146" i="3" l="1"/>
  <c r="E145" i="3"/>
  <c r="E142" i="3"/>
  <c r="E136" i="3"/>
  <c r="E134" i="3"/>
  <c r="E129" i="3"/>
  <c r="E128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E106" i="3"/>
  <c r="E101" i="3"/>
  <c r="D106" i="3"/>
  <c r="D105" i="3"/>
  <c r="D104" i="3"/>
  <c r="D103" i="3"/>
  <c r="D102" i="3"/>
  <c r="D101" i="3"/>
  <c r="E96" i="3"/>
  <c r="D100" i="3"/>
  <c r="D99" i="3"/>
  <c r="D98" i="3"/>
  <c r="D97" i="3"/>
  <c r="D96" i="3"/>
  <c r="D95" i="3"/>
  <c r="D94" i="3"/>
  <c r="D93" i="3"/>
  <c r="D92" i="3"/>
  <c r="D91" i="3"/>
  <c r="D89" i="3"/>
  <c r="D88" i="3"/>
  <c r="D87" i="3"/>
  <c r="D86" i="3"/>
  <c r="D85" i="3"/>
  <c r="D84" i="3"/>
  <c r="D83" i="3"/>
  <c r="D82" i="3"/>
  <c r="D81" i="3"/>
  <c r="D80" i="3"/>
  <c r="E74" i="3"/>
  <c r="E72" i="3"/>
  <c r="D77" i="3"/>
  <c r="D76" i="3"/>
  <c r="D75" i="3"/>
  <c r="D74" i="3"/>
  <c r="D73" i="3"/>
  <c r="D72" i="3"/>
  <c r="D71" i="3"/>
  <c r="D70" i="3"/>
  <c r="D65" i="3"/>
  <c r="D64" i="3"/>
  <c r="E50" i="3"/>
  <c r="E49" i="3"/>
  <c r="E47" i="3"/>
  <c r="E46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E41" i="3"/>
  <c r="D43" i="3"/>
  <c r="D42" i="3"/>
  <c r="D41" i="3"/>
  <c r="D40" i="3"/>
  <c r="D39" i="3"/>
  <c r="D38" i="3"/>
  <c r="D36" i="3"/>
  <c r="D35" i="3"/>
  <c r="D34" i="3"/>
  <c r="D33" i="3"/>
  <c r="D32" i="3"/>
  <c r="D31" i="3"/>
  <c r="D30" i="3"/>
  <c r="D29" i="3"/>
  <c r="D28" i="3"/>
  <c r="E27" i="3"/>
  <c r="D27" i="3"/>
  <c r="E26" i="3"/>
  <c r="D26" i="3"/>
  <c r="E25" i="3"/>
  <c r="D25" i="3"/>
  <c r="E24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66" i="3"/>
  <c r="D67" i="3"/>
  <c r="D37" i="3"/>
  <c r="D44" i="3"/>
  <c r="D45" i="3"/>
  <c r="D68" i="3"/>
  <c r="D69" i="3"/>
  <c r="D78" i="3"/>
  <c r="D79" i="3"/>
  <c r="D90" i="3"/>
  <c r="D107" i="3"/>
  <c r="D108" i="3"/>
  <c r="D5" i="3"/>
</calcChain>
</file>

<file path=xl/sharedStrings.xml><?xml version="1.0" encoding="utf-8"?>
<sst xmlns="http://schemas.openxmlformats.org/spreadsheetml/2006/main" count="2107" uniqueCount="1163">
  <si>
    <t>Brand</t>
  </si>
  <si>
    <t>Brand variant</t>
  </si>
  <si>
    <t>Recommended retail price (in dollars)</t>
  </si>
  <si>
    <t>Pack size of brand variant (in grams)</t>
  </si>
  <si>
    <t>Recommended retail price per pack (in dollars)</t>
  </si>
  <si>
    <t>Volume of cigars released for sale</t>
  </si>
  <si>
    <t xml:space="preserve">Volume of cigarillos released for sale </t>
  </si>
  <si>
    <t>Pack size of brand variant (e.g number of cigarillos in pack)</t>
  </si>
  <si>
    <t>Pack size of brand variant (e.g number of cigars in pack)</t>
  </si>
  <si>
    <t>Volume of pipe tobacco released for sale (in tonnes)</t>
  </si>
  <si>
    <r>
      <t xml:space="preserve">Pipe Tobacco </t>
    </r>
    <r>
      <rPr>
        <i/>
        <sz val="12"/>
        <color theme="1"/>
        <rFont val="Arial"/>
        <family val="2"/>
      </rPr>
      <t>(if applicable)</t>
    </r>
  </si>
  <si>
    <r>
      <t xml:space="preserve">Cigars </t>
    </r>
    <r>
      <rPr>
        <i/>
        <sz val="12"/>
        <color theme="1"/>
        <rFont val="Arial"/>
        <family val="2"/>
      </rPr>
      <t>(if applicable)</t>
    </r>
  </si>
  <si>
    <r>
      <t xml:space="preserve">Cigarillos </t>
    </r>
    <r>
      <rPr>
        <i/>
        <sz val="12"/>
        <color theme="1"/>
        <rFont val="Arial"/>
        <family val="2"/>
      </rPr>
      <t>(if applicable)</t>
    </r>
  </si>
  <si>
    <t>ERINMORE</t>
  </si>
  <si>
    <t>FLAKE</t>
  </si>
  <si>
    <t>MIXTURE</t>
  </si>
  <si>
    <t>CAPTAIN EARLE'S</t>
  </si>
  <si>
    <t>TEN RUSSIANS</t>
  </si>
  <si>
    <t>CORNELL &amp; DIEHL</t>
  </si>
  <si>
    <t>APRICOTS &amp; CREAM</t>
  </si>
  <si>
    <t>OLD JOE KRANTZ</t>
  </si>
  <si>
    <t>G.L. PEASE</t>
  </si>
  <si>
    <t>GASLIGHT</t>
  </si>
  <si>
    <t>MALTESE FALCON</t>
  </si>
  <si>
    <t>GAWITH, HOGGARTH &amp; CO.</t>
  </si>
  <si>
    <t>MAC BAREN</t>
  </si>
  <si>
    <t>HH BOLD KENTUCKY</t>
  </si>
  <si>
    <t>KENDAL DARK VINTAGE CUT</t>
  </si>
  <si>
    <t>KENDAL GOLD VINTAGE CUT</t>
  </si>
  <si>
    <t>PETERSON</t>
  </si>
  <si>
    <t>3 P'S PERFECT PLUG</t>
  </si>
  <si>
    <t>DELUXE NAVY ROLLS</t>
  </si>
  <si>
    <t>AMPHORA</t>
  </si>
  <si>
    <t>BURLEY BLEND</t>
  </si>
  <si>
    <t>UNITS SOLD</t>
  </si>
  <si>
    <t>ENGLISH BLEND</t>
  </si>
  <si>
    <t>FULL AROMA</t>
  </si>
  <si>
    <t>KENTUCKY BLEND</t>
  </si>
  <si>
    <t>ORIGINAL BLEND</t>
  </si>
  <si>
    <t>SPECIAL RESERVE BLACK CAVENDISH</t>
  </si>
  <si>
    <t>VIRGINIA BLEND</t>
  </si>
  <si>
    <t>ASTHON</t>
  </si>
  <si>
    <t>ARTISANS BLEND</t>
  </si>
  <si>
    <t>CONSUMATE GENTLEMAN</t>
  </si>
  <si>
    <t>GOLD RUSH</t>
  </si>
  <si>
    <t>GUILTY PLEASURE</t>
  </si>
  <si>
    <t>RAINY DAY</t>
  </si>
  <si>
    <t>SMOOTH SAILING</t>
  </si>
  <si>
    <t>BALKAN</t>
  </si>
  <si>
    <t>SASIENI ORIGINAL FORMULA</t>
  </si>
  <si>
    <t>BORKUM RIFF</t>
  </si>
  <si>
    <t>BLACK CAVENDISH</t>
  </si>
  <si>
    <t>BOURBON WHISKEY</t>
  </si>
  <si>
    <t>CHERRY CAVENDISH</t>
  </si>
  <si>
    <t>CHERRY LIQUOR</t>
  </si>
  <si>
    <t>ORIGINAL</t>
  </si>
  <si>
    <t>CAPSTAN</t>
  </si>
  <si>
    <t>3 YEARS AGED BLUE NAVY CUT FLAKE</t>
  </si>
  <si>
    <t>3 YEARS AGED BLUE NAVY CUT READY RUBBED</t>
  </si>
  <si>
    <t>3 YEARS AGED GOLD FLAKE</t>
  </si>
  <si>
    <t>3 YEARS AGED GOLD READY RUBBED</t>
  </si>
  <si>
    <t>BLUE NAVY CUT READY RUBBED</t>
  </si>
  <si>
    <t>BLUE NAVY ORIGINAL NAVY CUT FLAKE</t>
  </si>
  <si>
    <t>GOLD FLAKE</t>
  </si>
  <si>
    <t>GOLD READY RUBBED</t>
  </si>
  <si>
    <t>CAPTAIN BLACK</t>
  </si>
  <si>
    <t>CHERRY BLEND</t>
  </si>
  <si>
    <t>GOLD BLEND</t>
  </si>
  <si>
    <t>REGULAR BLEND</t>
  </si>
  <si>
    <t>PLATINUM</t>
  </si>
  <si>
    <t>ROYAL BLEND</t>
  </si>
  <si>
    <t>DIAMONDHEAD</t>
  </si>
  <si>
    <t>NIGHTWATCH</t>
  </si>
  <si>
    <t>COBBLESTONE</t>
  </si>
  <si>
    <t>INDULGE WALNUT MAPLE PUE</t>
  </si>
  <si>
    <t>LIMITED PRESS NO.22 CRUMBLE CAKE</t>
  </si>
  <si>
    <t>LIMITED PRESS PLUM RUM</t>
  </si>
  <si>
    <t>AFTER HOURS FLAKE</t>
  </si>
  <si>
    <t>ANTHOLOGY 1992-2022</t>
  </si>
  <si>
    <t>AUTUMN EVENING</t>
  </si>
  <si>
    <t>BILLY BUDD</t>
  </si>
  <si>
    <t>DREAMS OF KADATH</t>
  </si>
  <si>
    <t>EXHAUSED ROOSTER</t>
  </si>
  <si>
    <t>IZMIR TURKISH</t>
  </si>
  <si>
    <t>PIRATE KAKE</t>
  </si>
  <si>
    <t>SMALL BATCH FROM BEYOND</t>
  </si>
  <si>
    <t>SMALL BATCH SUN BEAR MOUNTAIN FLOWER</t>
  </si>
  <si>
    <t>CULT</t>
  </si>
  <si>
    <t>DAVIDOFF</t>
  </si>
  <si>
    <t>BLOOD RED MOON</t>
  </si>
  <si>
    <t>BLUE MIXTURE</t>
  </si>
  <si>
    <t>DANISH MIXTURE</t>
  </si>
  <si>
    <t>ENGLISH MIXTURE</t>
  </si>
  <si>
    <t>GREEN MIXTURE</t>
  </si>
  <si>
    <t>RED MIXTURE</t>
  </si>
  <si>
    <t>ROYALTY</t>
  </si>
  <si>
    <t>SCOTTISH MIXTURE</t>
  </si>
  <si>
    <t>DUNHILL</t>
  </si>
  <si>
    <t>A21000 VANILLA CAVENDISH</t>
  </si>
  <si>
    <t>A30000 BLACK CAVENDISH</t>
  </si>
  <si>
    <t>BANKSIDE</t>
  </si>
  <si>
    <t>JACK KNIFE PLUG</t>
  </si>
  <si>
    <t>PENNY FARTHING</t>
  </si>
  <si>
    <t>QUIET NIGHTS</t>
  </si>
  <si>
    <t>SPARK PLUG</t>
  </si>
  <si>
    <t>THE VIRGINIA CREAM</t>
  </si>
  <si>
    <t>WESTMINSTER</t>
  </si>
  <si>
    <t>DARK BIRDS EYE VINTAGE CUT</t>
  </si>
  <si>
    <t>KENDAL VINTAGE CUT</t>
  </si>
  <si>
    <t>LANE</t>
  </si>
  <si>
    <t>1Q</t>
  </si>
  <si>
    <t>BCA</t>
  </si>
  <si>
    <t>BLACK RASPBERRY</t>
  </si>
  <si>
    <t>BUTTERED RUM</t>
  </si>
  <si>
    <t>HALF &amp; HALF</t>
  </si>
  <si>
    <t>RLP-6</t>
  </si>
  <si>
    <t>VERY CHERRY</t>
  </si>
  <si>
    <t>LANE LIMITED</t>
  </si>
  <si>
    <t>ESCUDO NAVY DE LUXE</t>
  </si>
  <si>
    <t>THREE NUNS ORANGE</t>
  </si>
  <si>
    <t>3 YEARS AGED HH BALKAN BLEND</t>
  </si>
  <si>
    <t>3 YEARS AGED HH BURLEY FLAKE</t>
  </si>
  <si>
    <t>PLUMCAKE NAVY BLEND</t>
  </si>
  <si>
    <t>ST. BRUNO FLAKE</t>
  </si>
  <si>
    <t>SYMPHONY</t>
  </si>
  <si>
    <t>THE SOLENT MIXTURE</t>
  </si>
  <si>
    <t>VANILLA CREAM LOOSE CUT</t>
  </si>
  <si>
    <t>VIRGINIA NO.1</t>
  </si>
  <si>
    <t>MISSOURI MEERSCHAUM</t>
  </si>
  <si>
    <t>ORLIK</t>
  </si>
  <si>
    <t>150TH ANNIVERSARY</t>
  </si>
  <si>
    <t>LIMITED EDITION CREEPER OF THE CORN</t>
  </si>
  <si>
    <t>LIMITED EDITION ORCHARD MIST CRUMBLE CAKE</t>
  </si>
  <si>
    <t>LIMITED EDITION TIMELESS</t>
  </si>
  <si>
    <t>LORD MORGAN CRUMBLE CAKE</t>
  </si>
  <si>
    <t>GOLDEN SLICED</t>
  </si>
  <si>
    <t>EARLY MORNING PIPE</t>
  </si>
  <si>
    <t>ELIZABETHAN MIXTURE</t>
  </si>
  <si>
    <t>MY MIXTURE #965</t>
  </si>
  <si>
    <t>NIGHTCAP</t>
  </si>
  <si>
    <t>ROYAL YACHT</t>
  </si>
  <si>
    <t>BALKAN MIXTURE</t>
  </si>
  <si>
    <t>CONNOISSEUR'S CHOICE</t>
  </si>
  <si>
    <t>DE LUXE MIXTURE</t>
  </si>
  <si>
    <t>FLAKE VIRGINIA</t>
  </si>
  <si>
    <t>HYDE PARK</t>
  </si>
  <si>
    <t>IRISH CASK OAK</t>
  </si>
  <si>
    <t>IRISH FLAKE</t>
  </si>
  <si>
    <t>IRISH WHISKEY</t>
  </si>
  <si>
    <t>OLD DUBLIN</t>
  </si>
  <si>
    <t>SHERLOCK HOLMES</t>
  </si>
  <si>
    <t>STANDARD MIXTURE</t>
  </si>
  <si>
    <t>SUNSET BREEZE</t>
  </si>
  <si>
    <t>SWEET KILLARNEY</t>
  </si>
  <si>
    <t>UNIVERSITY FLAKE</t>
  </si>
  <si>
    <t>PRESBYTERIAN</t>
  </si>
  <si>
    <t>RATTRAY'S</t>
  </si>
  <si>
    <t>SAIL</t>
  </si>
  <si>
    <t>SAMUEL GAWITH</t>
  </si>
  <si>
    <t>SAVINELLI</t>
  </si>
  <si>
    <t>SEATTLE PIPE CLUB</t>
  </si>
  <si>
    <t>SOLANI</t>
  </si>
  <si>
    <t>SUTLIFF</t>
  </si>
  <si>
    <t>EXOTIC PASSION</t>
  </si>
  <si>
    <t>AROMATIC BLEND</t>
  </si>
  <si>
    <t>LIMITED EDITION BROWN SUGAR FLAKE</t>
  </si>
  <si>
    <t>140TH ANNIVERSARY 2022 RELEASE</t>
  </si>
  <si>
    <t>DOWN YONDER SIGNATURE SERIES</t>
  </si>
  <si>
    <t>PLUM PUDDING</t>
  </si>
  <si>
    <t>PLUM PUDDING BOURBON BARREL AGED</t>
  </si>
  <si>
    <t>BLEND 763</t>
  </si>
  <si>
    <t>BLEND 779</t>
  </si>
  <si>
    <t>BLEND 633</t>
  </si>
  <si>
    <t>#Z92 VANILLA CUSTARD</t>
  </si>
  <si>
    <t>HALLOWEEN 2022 CANDY APPLE</t>
  </si>
  <si>
    <t>NORTH POLE PEPPERMINT MOCHA</t>
  </si>
  <si>
    <t>MATCH DUNHILL #965</t>
  </si>
  <si>
    <t>HILL OF SLANE</t>
  </si>
  <si>
    <t>PIPE FORCE CAPTAIN RYAN</t>
  </si>
  <si>
    <t>PIPE FORCE FIRST SERGEANT DECKARD</t>
  </si>
  <si>
    <t>W.O. LARSEN</t>
  </si>
  <si>
    <t>1864 PERFECT MIXTURE</t>
  </si>
  <si>
    <t>OLD FASHIONED</t>
  </si>
  <si>
    <t>SIGNATURE</t>
  </si>
  <si>
    <t>ALCOPONE</t>
  </si>
  <si>
    <t>GOLD</t>
  </si>
  <si>
    <t>ARTURO FUENTE</t>
  </si>
  <si>
    <t>EXQUISITOS MADURO</t>
  </si>
  <si>
    <t>EXQUISITOS SUN GROWN</t>
  </si>
  <si>
    <t>BACKWOODS</t>
  </si>
  <si>
    <t>DARK STOUT</t>
  </si>
  <si>
    <t>HENRI WINTERMAN</t>
  </si>
  <si>
    <t>CAFÉ CRÈME BLUE</t>
  </si>
  <si>
    <t>CAFÉ CRÈME AROME</t>
  </si>
  <si>
    <t>CAFÉ CRÈME ORIGINAL</t>
  </si>
  <si>
    <t>GOLD MINIS</t>
  </si>
  <si>
    <t>SILVER MINIS</t>
  </si>
  <si>
    <t>DJARUM</t>
  </si>
  <si>
    <t>BALI HAI</t>
  </si>
  <si>
    <t>BLACK</t>
  </si>
  <si>
    <t>SPLASH</t>
  </si>
  <si>
    <t>MEHARI</t>
  </si>
  <si>
    <t>BRASIL</t>
  </si>
  <si>
    <t>ECUADOR</t>
  </si>
  <si>
    <t>JAVA</t>
  </si>
  <si>
    <t>SCHIMMELPENNINCK</t>
  </si>
  <si>
    <t>CUBERO BLUE</t>
  </si>
  <si>
    <t>VAN HARTOG</t>
  </si>
  <si>
    <t>ELFINOS</t>
  </si>
  <si>
    <t>MACANUDO</t>
  </si>
  <si>
    <t>INSPIRADO ORANGE MINIS</t>
  </si>
  <si>
    <t>INSPIRADO RED MINIS</t>
  </si>
  <si>
    <t>INSPIRADO WHITE MINIS</t>
  </si>
  <si>
    <t>RED ORIENT</t>
  </si>
  <si>
    <t>OLIVA</t>
  </si>
  <si>
    <t>MIXED</t>
  </si>
  <si>
    <t>A.J. FERNANDEZ</t>
  </si>
  <si>
    <t>BELLAS ARTES ROBUSTO</t>
  </si>
  <si>
    <t>BELLAS ARTES TORO</t>
  </si>
  <si>
    <t>EL REY DEL MUNDO LE TORO BP</t>
  </si>
  <si>
    <t>ENCLAVE ROBUSTO</t>
  </si>
  <si>
    <t>ENCLAVE SALOMON</t>
  </si>
  <si>
    <t>ENCLAVE BROADLEAF ROBUSTO</t>
  </si>
  <si>
    <t>BELLAS ARTES MADURO LANCERO</t>
  </si>
  <si>
    <t>BELLAS ARTES MADURO ROBUSTO</t>
  </si>
  <si>
    <t>BELLAS ARTES MADURO SHORT CHURCHILL</t>
  </si>
  <si>
    <t>BELLAS ARTES MADURO TORO</t>
  </si>
  <si>
    <t>DIAS DE GLORIA ROBUSTO</t>
  </si>
  <si>
    <t>DIAS DE GLORIA SHORT CHURCHILL</t>
  </si>
  <si>
    <t>DIAS DE GLORIA TORO</t>
  </si>
  <si>
    <t>LAST CALL HABANO CHIQUITAS</t>
  </si>
  <si>
    <t>LAST CALL HABANO GENIALES</t>
  </si>
  <si>
    <t>LAST CALL MADURO CHIQUITAS</t>
  </si>
  <si>
    <t>LAST CALL MADURO GENIALES</t>
  </si>
  <si>
    <t>MONTE 1935 ANNI CHURCHILL</t>
  </si>
  <si>
    <t>MONTE 1935 ANNI DEMI</t>
  </si>
  <si>
    <t>MONTE 1935 ANNI NO.2</t>
  </si>
  <si>
    <t>NEW WORLD CAMEROON SHORT ROBUSTO</t>
  </si>
  <si>
    <t>NEW WORLD CAMEROON TORO</t>
  </si>
  <si>
    <t>NEW WORLD CONNECTICUT CORONA GORDA</t>
  </si>
  <si>
    <t>NEW WORLD CONNECTICUT ROBUSTO</t>
  </si>
  <si>
    <t>NEW WORLD CONNECTICUT TORO</t>
  </si>
  <si>
    <t>NEW WORLD DORADO FIGURADO</t>
  </si>
  <si>
    <t>NEW WORLD DORADO GORDITO</t>
  </si>
  <si>
    <t>NEW WORLD DORADO LE MIXED</t>
  </si>
  <si>
    <t>NEW WORLD DORADO ROBUSTO</t>
  </si>
  <si>
    <t>NEW WORLD DORADO TORO</t>
  </si>
  <si>
    <t>NEW WORLD OSCURO TORO</t>
  </si>
  <si>
    <t>NEW WORLD PURO ESPECIAL TORO</t>
  </si>
  <si>
    <t>RYJ CRAFTED BELICOSO</t>
  </si>
  <si>
    <t>ADVENTURA</t>
  </si>
  <si>
    <t>AGANORSA LEAF</t>
  </si>
  <si>
    <t>AGING ROOM</t>
  </si>
  <si>
    <t>BARBARROJA'S INVASION CORONA</t>
  </si>
  <si>
    <t>LA LLORONA ELITE EXCLUSIVE 2022 ROBUSTO</t>
  </si>
  <si>
    <t>LA VALIDACION CONNECTICUT</t>
  </si>
  <si>
    <t>LA VALIDACION COROJO</t>
  </si>
  <si>
    <t>LA VALIDACION HABANO</t>
  </si>
  <si>
    <t>LA VALIDACION MADURO</t>
  </si>
  <si>
    <t>SIGNATURE MADURO BELICOSO</t>
  </si>
  <si>
    <t>QUATTRO NICARAGUA MAESTRO</t>
  </si>
  <si>
    <t>ALEC &amp; BRADLEY</t>
  </si>
  <si>
    <t>BLIND FAITH TORO</t>
  </si>
  <si>
    <t>GATEKEEPER GORDO</t>
  </si>
  <si>
    <t>GATEKEEPER TORO</t>
  </si>
  <si>
    <t>KINTSUGI CORONA GORDA</t>
  </si>
  <si>
    <t>KINTSUGI TORO</t>
  </si>
  <si>
    <t>ALEC BRADLEY</t>
  </si>
  <si>
    <t>AMERICAN CLASSIC CHURCHILL</t>
  </si>
  <si>
    <t>AMERICAN CLASSIC CORONA</t>
  </si>
  <si>
    <t>AMERICAN SUN GROWN CHURCHILL</t>
  </si>
  <si>
    <t>AMERICAN SUN GROWN CORONA</t>
  </si>
  <si>
    <t>BLACK MARKET CHUNK</t>
  </si>
  <si>
    <t>BLACK MARKET PUNK</t>
  </si>
  <si>
    <t>BLACK MARKET ESTELI DIAMOND LE</t>
  </si>
  <si>
    <t>BLACK MARKET ESTELI ROBUSTO</t>
  </si>
  <si>
    <t>BLACK MARKET ESTELI TORO</t>
  </si>
  <si>
    <t>BLACK MARKET LE FILTHY HOOLIGAN 2021</t>
  </si>
  <si>
    <t>CONNECTICUT NANO</t>
  </si>
  <si>
    <t>CONNECTICUT ROBUSTO</t>
  </si>
  <si>
    <t>CONNECTICUT TORO</t>
  </si>
  <si>
    <t>COYOL PETIT LANCERO</t>
  </si>
  <si>
    <t>FINE &amp; RARE BC-134EV 2021 LE</t>
  </si>
  <si>
    <t>MAXX SUPER FREAK</t>
  </si>
  <si>
    <t>MEDALIST ROBUSTO</t>
  </si>
  <si>
    <t>MEDALIST TORO</t>
  </si>
  <si>
    <t>MAGIC TOAST CHUNK</t>
  </si>
  <si>
    <t>MAGIC TOAST ROBUSTO</t>
  </si>
  <si>
    <t>MAGIC TOAST TORO</t>
  </si>
  <si>
    <t>NEW YORK 2010 EMPIRE TORO</t>
  </si>
  <si>
    <t>NEW YORK 2010 EMPIRE ROBUSTO</t>
  </si>
  <si>
    <t>PRENSADO CHURCHILL</t>
  </si>
  <si>
    <t>PRENSADO CORONA GORDA</t>
  </si>
  <si>
    <t>PRENSADO GRAN TORO</t>
  </si>
  <si>
    <t>PRENSADO LOST ART CHURCHILL</t>
  </si>
  <si>
    <t>PRENSADO LOST ART GRAN TORO</t>
  </si>
  <si>
    <t>PRENSADO LOST ART ROBUSTO</t>
  </si>
  <si>
    <t>PROJECT 40 ROBUSTO</t>
  </si>
  <si>
    <t>PROJECT 40 MADURO ROBUSTO</t>
  </si>
  <si>
    <t>SPIRIT OF CUBA COROJO CHURCHILL</t>
  </si>
  <si>
    <t>SPIRIT OF CUBA COROJO ROBUSTO</t>
  </si>
  <si>
    <t>SPIRIT OF CUBA HABANO CHURCHILL</t>
  </si>
  <si>
    <t>SPIRIT OF CUBA HABANO ROBUSTO</t>
  </si>
  <si>
    <t>SPIRIT OF CUBA NATURAL CHURCHILL</t>
  </si>
  <si>
    <t>SPIRIT OF CUBA NATURAL ROBUSTO</t>
  </si>
  <si>
    <t>TEMPUS NATURAL MEDIUS 6</t>
  </si>
  <si>
    <t>TEMPUS NICARAGUA MEDIUS 6</t>
  </si>
  <si>
    <t>TEXAS LANCERO</t>
  </si>
  <si>
    <t>THE LINEAGE TORO</t>
  </si>
  <si>
    <t>ALEX SPENCER RESERVE</t>
  </si>
  <si>
    <t>THE MANSA MADURO ROBUSTO</t>
  </si>
  <si>
    <t>THE MANSA MADURO TORO</t>
  </si>
  <si>
    <t>ALL SAINTS</t>
  </si>
  <si>
    <t>DEDICACION BERKLEY ROBUSTO</t>
  </si>
  <si>
    <t>DEDICACION COACH CHURCHILL</t>
  </si>
  <si>
    <t>DEDICACION COMMANDMENT TORO</t>
  </si>
  <si>
    <t>DEDICACION MITRE TORPEDO</t>
  </si>
  <si>
    <t>DEDICACION HABANO CHURCHILL</t>
  </si>
  <si>
    <t>DEDICACION HABANO COMMANDMENT</t>
  </si>
  <si>
    <t>DEDICACION HABANO ROBUSTO</t>
  </si>
  <si>
    <t>ST. FRANCIS COLORADO CHURCHILL</t>
  </si>
  <si>
    <t>ST. FRANCIS COLORADO ROBUSTO</t>
  </si>
  <si>
    <t>ST. FRANCIS COLORADO TORO</t>
  </si>
  <si>
    <t>ST. FRANCIS HABANO OSCURO CHURCHILL</t>
  </si>
  <si>
    <t>ST. FRANCIS HABANO OSCURO MITRE TORPEDO</t>
  </si>
  <si>
    <t>ST. FRANCIS HABANO OSCURO ROBUSTO</t>
  </si>
  <si>
    <t>ST. FRANCIS HABANO OSCURO TORO</t>
  </si>
  <si>
    <t>BREVAS ROYALE</t>
  </si>
  <si>
    <t>BREVAS MADURO ROYALE</t>
  </si>
  <si>
    <t>CURLY HEAD CLARO</t>
  </si>
  <si>
    <t>CURLY HEAD NATURAL</t>
  </si>
  <si>
    <t>CURLY HEAD DELUXE CAMEROON</t>
  </si>
  <si>
    <t>CURLY HEAD DELUXE MADURO</t>
  </si>
  <si>
    <t>HEMINGWAY SIGNATURE</t>
  </si>
  <si>
    <t>HEMINGWAY BEST SELLER</t>
  </si>
  <si>
    <t>HEMINGWAY SHORT STORY</t>
  </si>
  <si>
    <t>ASHTON</t>
  </si>
  <si>
    <t>CABINET SELECTION TRES PETITE</t>
  </si>
  <si>
    <t>LA AROMA DE CUBA MI AMOR BELICOSO</t>
  </si>
  <si>
    <t>LA AROMA DE CUBA MI AMOR RESERVA DIVINO</t>
  </si>
  <si>
    <t>LA AROMA DE CUBA PASION CORONA GORDA</t>
  </si>
  <si>
    <t>LA AROMA DE CUBA PASION MARVELOSO TORO</t>
  </si>
  <si>
    <t>LA AROMA DE CUBA PASION ROBUSTO</t>
  </si>
  <si>
    <t>LA AROMA DE CUBA PASION TORPEDO</t>
  </si>
  <si>
    <t>SYMMETRY BELICOSO</t>
  </si>
  <si>
    <t>SYMMETRY PRISM CORONA</t>
  </si>
  <si>
    <t>SYMMETRY ROBUSTO</t>
  </si>
  <si>
    <t>SYMMETRY SUBLIME TORO</t>
  </si>
  <si>
    <t>VIRGIN SUN GROWN SORCERER</t>
  </si>
  <si>
    <t>ASYLUM</t>
  </si>
  <si>
    <t>NINE LE 11/18</t>
  </si>
  <si>
    <t>NINE LE 770</t>
  </si>
  <si>
    <t>TEN LE 11/18</t>
  </si>
  <si>
    <t>NINE LE APRIL FOOLS'</t>
  </si>
  <si>
    <t>TEN LE 770</t>
  </si>
  <si>
    <t>AVE MARIA</t>
  </si>
  <si>
    <t>AVO</t>
  </si>
  <si>
    <t>NATURAL MORNING STAR PERFECTO</t>
  </si>
  <si>
    <t>AGENTUM MADURO MORNING STAR PERFECTO</t>
  </si>
  <si>
    <t>SEASON LE 2023 SPRING DIADEMA</t>
  </si>
  <si>
    <t>BERGER &amp; ARGENTI</t>
  </si>
  <si>
    <t>ENTUBAR ROBUSTO</t>
  </si>
  <si>
    <t>BOLIVAR</t>
  </si>
  <si>
    <t>COFRADIA OSCURO ROBUSTO</t>
  </si>
  <si>
    <t>BOUTIQUE SMOKE</t>
  </si>
  <si>
    <t>SBS SAN ANDRES MADURO TORO</t>
  </si>
  <si>
    <t>BRICK HOUSE</t>
  </si>
  <si>
    <t>DOUBLE CONNECTICUT MIGHTY MIGHTY</t>
  </si>
  <si>
    <t>DOUBLE CONNECTICUT ROBUSTO</t>
  </si>
  <si>
    <t>DOUBLE CONNECTICUT SHORT TORPEDO</t>
  </si>
  <si>
    <t>DOUBLE CONNECTICUT TORO</t>
  </si>
  <si>
    <t>MADURO MIGHTY MIGHTY</t>
  </si>
  <si>
    <t>MADURO ROBUSTO</t>
  </si>
  <si>
    <t>NATURAL CORONA</t>
  </si>
  <si>
    <t>NATURAL MIGHTY MIGHTY</t>
  </si>
  <si>
    <t>NATURAL ROBUSTO</t>
  </si>
  <si>
    <t>CULEBRA</t>
  </si>
  <si>
    <t>C.L.E.</t>
  </si>
  <si>
    <t>EIROA THE FIRST 20 YEARS TORO BP</t>
  </si>
  <si>
    <t>SIGNATURE CAMEROON DE JAMASTRAM 11/18</t>
  </si>
  <si>
    <t>WYNWOOD HILLS MAYHEM ROTHSCHILD</t>
  </si>
  <si>
    <t>WYNWOOD HILLS UNHINGED ROTHSCHILD</t>
  </si>
  <si>
    <t>CALDWELL</t>
  </si>
  <si>
    <t>BLIND MAN'S BLUFF ROBUSTO</t>
  </si>
  <si>
    <t>BLIND MAN'S BLUFF LIMITED CABINET CHICO GOLD</t>
  </si>
  <si>
    <t>BLIND MAN'S BLUFF LIMITED CABINET CHICO WHITE</t>
  </si>
  <si>
    <t>BLIND MAN'S BLUFF LIMITED CABINET VENTURA</t>
  </si>
  <si>
    <t>BLIND MAN'S BLUFF MADURO ROBUSTO</t>
  </si>
  <si>
    <t>EASTERN STANDARD CREAM CRUSH</t>
  </si>
  <si>
    <t>LONG LIVE THE KING PETITE DOUBLE WIDE SHORT CHURCHILL</t>
  </si>
  <si>
    <t>LOST &amp; FOUND ANTIQUE LINE 2007 VINTAGE ROBUSTO</t>
  </si>
  <si>
    <t>LOST &amp; FOUND ANTIQUE LINE 2009 VINTAGE ROBUSTO</t>
  </si>
  <si>
    <t>LOST &amp; FOUND BUCK 15 ROBUSTO</t>
  </si>
  <si>
    <t>LOST &amp; FOUND MALTIDOS BASTARDOS CORONA GORDA</t>
  </si>
  <si>
    <t>LOST &amp; FOUND HALLOWEEN 2022 ROBUSTO</t>
  </si>
  <si>
    <t>CAMACHO</t>
  </si>
  <si>
    <t>BLIND MAN'S BLUFF MADURO LE 2021 THIS IS TROUBLE</t>
  </si>
  <si>
    <t>AMERICAN BARREL AGED TORPEDO CORTO</t>
  </si>
  <si>
    <t>BROADLEAF ROBUSTO</t>
  </si>
  <si>
    <t>BROADLEAF TORO</t>
  </si>
  <si>
    <t>BXP CONNECTICUT TORO</t>
  </si>
  <si>
    <t>BXP COROJO TORO</t>
  </si>
  <si>
    <t>BXP ECUADOR TORO</t>
  </si>
  <si>
    <t>COROJO ROBUSTO</t>
  </si>
  <si>
    <t>COYOLAR PERFECTO</t>
  </si>
  <si>
    <t>FACTORY UNLEASHED ONE-2021 TORO</t>
  </si>
  <si>
    <t>FACTORY UNLEASHED THREE-2023 TORO</t>
  </si>
  <si>
    <t>FACTORY UNLEASHED TWO-2022 TORO</t>
  </si>
  <si>
    <t>NICARAGUA ROBUSTO</t>
  </si>
  <si>
    <t>NICARAGUA TORO</t>
  </si>
  <si>
    <t>TRIPLE MADURO</t>
  </si>
  <si>
    <t>CAO</t>
  </si>
  <si>
    <t>60 - TORQUE</t>
  </si>
  <si>
    <t>AMERICA POTOMAC ROBUSTO</t>
  </si>
  <si>
    <t>ARCANA LE FIREWALKER SUPER TORO</t>
  </si>
  <si>
    <t>BLIND HUGHIE TORO</t>
  </si>
  <si>
    <t>CHICKEN FOOT ROBUSTO</t>
  </si>
  <si>
    <t>BRAZILIA BOX-PRESS</t>
  </si>
  <si>
    <t>BRAZILIA GOL!</t>
  </si>
  <si>
    <t>BX3 GORDO</t>
  </si>
  <si>
    <t>BX3 ROBUSTO</t>
  </si>
  <si>
    <t>BX3 TORO</t>
  </si>
  <si>
    <t>CHAMPIONS II MIXED</t>
  </si>
  <si>
    <t>COLUMBIA MAGDELENA</t>
  </si>
  <si>
    <t>FLATHEAD V450</t>
  </si>
  <si>
    <t>FLATHEAD V554</t>
  </si>
  <si>
    <t>FLATHEAD V770</t>
  </si>
  <si>
    <t>FLATHEAD STEEL HORSE HANDBREAK</t>
  </si>
  <si>
    <t>FLAVOURS BELLA VANILLA ROBUSTO</t>
  </si>
  <si>
    <t>FLAVOURS BELLA VANILLA TRES PETITE</t>
  </si>
  <si>
    <t>FLAVOURS EILEEN'S DREAM TRES PETITE</t>
  </si>
  <si>
    <t>FLAVOURS MOONTRANCE ROBUSTO</t>
  </si>
  <si>
    <t>FLAVOURS MOONTRANCE TRES PETITE</t>
  </si>
  <si>
    <t>ITALIA CIAO ROBUSTO</t>
  </si>
  <si>
    <t>L'ANNIVERSAIRE CAMEROON TORO</t>
  </si>
  <si>
    <t>PILON CHURCHILL</t>
  </si>
  <si>
    <t>PILON CORONA</t>
  </si>
  <si>
    <t>PILON ANEJO GIGANTE</t>
  </si>
  <si>
    <t>PILON ANEJO ROBUSTO</t>
  </si>
  <si>
    <t>PILON ANEJO TORO</t>
  </si>
  <si>
    <t>SESSION GARAGE</t>
  </si>
  <si>
    <t>ZOCALO LE GIGANTE</t>
  </si>
  <si>
    <t>ZOCALO LE ROBUSTO</t>
  </si>
  <si>
    <t>ZOCALO LE TORO</t>
  </si>
  <si>
    <t>CASA CUEVAS</t>
  </si>
  <si>
    <t>CASDAGLI</t>
  </si>
  <si>
    <t>HABANO ROBUSTO</t>
  </si>
  <si>
    <t>HABANO TORO</t>
  </si>
  <si>
    <t>LA MANDARRIA LE TORO</t>
  </si>
  <si>
    <t>MADURO TORO</t>
  </si>
  <si>
    <t>PATRIMONIO</t>
  </si>
  <si>
    <t>RESERVA MADURO ROBUSTO</t>
  </si>
  <si>
    <t>RESERVA MADURO TORO</t>
  </si>
  <si>
    <t>BASILICA LINE C1 NATURAL</t>
  </si>
  <si>
    <t>COHIBA</t>
  </si>
  <si>
    <t>BLUE ROBUSTO</t>
  </si>
  <si>
    <t>NICARAGUA N54</t>
  </si>
  <si>
    <t>CORDOBA &amp; MORALES</t>
  </si>
  <si>
    <t>KAROLE BASHKINS TOROGORDO</t>
  </si>
  <si>
    <t>CROWNED HEADS</t>
  </si>
  <si>
    <t>BLOOD MEDICINE ROBUSTO</t>
  </si>
  <si>
    <t>FOUR KICKS MADURO MULE KICK LE 2022</t>
  </si>
  <si>
    <t>JUAREZ SHOTS LE 2021</t>
  </si>
  <si>
    <t>LE CAREME BELICOSOS FINOS LE 2022</t>
  </si>
  <si>
    <t>LE CAREME CANONAZO</t>
  </si>
  <si>
    <t>LE CAREME PASTELITOS LE 2023</t>
  </si>
  <si>
    <t>LE PATISSIER PCA EXCLUSIVE LONSDALE</t>
  </si>
  <si>
    <t>TENNESSEE WALTZ</t>
  </si>
  <si>
    <t>ACE PRIME</t>
  </si>
  <si>
    <t>THE SERGEANT ROBUSTO GORDO</t>
  </si>
  <si>
    <t>CROWNED HEADS &amp; DREW ESTATE</t>
  </si>
  <si>
    <t>LA COALICION CORONA GORDA</t>
  </si>
  <si>
    <t>CUBA ALIADOS BY E.P. CARRILLO</t>
  </si>
  <si>
    <t>CUBA ALIADOS</t>
  </si>
  <si>
    <t>TORPEDO</t>
  </si>
  <si>
    <t>CHURCHILL</t>
  </si>
  <si>
    <t>ROBUSTO</t>
  </si>
  <si>
    <t>TORO</t>
  </si>
  <si>
    <t>CUESTA-REY</t>
  </si>
  <si>
    <t>NO.95 LONSDALE</t>
  </si>
  <si>
    <t>SHADE ARISTOCRAT GLASS</t>
  </si>
  <si>
    <t>SHADE PYRAMID #9</t>
  </si>
  <si>
    <t>SHADE ROBUSTO #7</t>
  </si>
  <si>
    <t>CENTRO FINO PYRAMID #9</t>
  </si>
  <si>
    <t>CENTRO FINO ROBUSTO #7</t>
  </si>
  <si>
    <t>CURIVARI</t>
  </si>
  <si>
    <t>BUENAVENTURA BV560</t>
  </si>
  <si>
    <t>BUENAVENTURA MINI BV</t>
  </si>
  <si>
    <t>BUENAVENTURA PRALINES P460</t>
  </si>
  <si>
    <t>BUENAVENTURA PRALINES P554</t>
  </si>
  <si>
    <t>CICLOPE #652 TORO</t>
  </si>
  <si>
    <t>SUN GROWN MADURO ROBUSTO EXTRA 554</t>
  </si>
  <si>
    <t>SUN GROWN MADURO TORO GRANDE 654</t>
  </si>
  <si>
    <t>BACCARAT</t>
  </si>
  <si>
    <t>MADURO ROTHSCHILD</t>
  </si>
  <si>
    <t>ROTHSCHILD</t>
  </si>
  <si>
    <t>DOMINICAN PRIMEROS</t>
  </si>
  <si>
    <t>DOMINICAN MADURO PRIMEROS</t>
  </si>
  <si>
    <t>NICARAGUA PRIMEROS</t>
  </si>
  <si>
    <t>NICARAGUA MADURO PRIMEROS</t>
  </si>
  <si>
    <t>WINSTON CHURCHILL BELICOSO</t>
  </si>
  <si>
    <t>WINSTON CHURCHILL THE LATE HOUR TORO</t>
  </si>
  <si>
    <t>WINSTON CHURCHILL THE LATE HOUR CHURCHILL</t>
  </si>
  <si>
    <t>DIAMOND CROWN</t>
  </si>
  <si>
    <t>BLACK DIAMOND EMERALD TORO</t>
  </si>
  <si>
    <t>CLASSIC MADURO NO.3 GRAN TORO</t>
  </si>
  <si>
    <t>CLASSIC MADURO NO.4 ROBUSTO</t>
  </si>
  <si>
    <t>CLASSIC MADURO NO.5 SHORT ROBUSTO</t>
  </si>
  <si>
    <t>CLASSIC MADURO NO.6 FIGURADO</t>
  </si>
  <si>
    <t>CLASSIC NATURAL NO.4 ROBUSTO</t>
  </si>
  <si>
    <t>CLASSIC NATURAL NO.5 SHORT ROBUSTO</t>
  </si>
  <si>
    <t>CLASSIC NATURAL NO.6 FIGURADO</t>
  </si>
  <si>
    <t>JULIUS CAESER 1895 PERFECTO</t>
  </si>
  <si>
    <t>JULIUS CAESER ROBUSTO</t>
  </si>
  <si>
    <t>JULIUS CAESER TORO</t>
  </si>
  <si>
    <t>MAXIMUS ROBUSTO</t>
  </si>
  <si>
    <t>MAXIMUS TORO</t>
  </si>
  <si>
    <t>DIESEL</t>
  </si>
  <si>
    <t>GRIND ROBUSTO</t>
  </si>
  <si>
    <t>GRIND TORPEDO</t>
  </si>
  <si>
    <t>LE SIDESHOW 2022 MIX</t>
  </si>
  <si>
    <t>LE FOOL'S ERRAND STUBBORN FOOL PERFECTO</t>
  </si>
  <si>
    <t>SUNDAY GRAVY GRAPPA</t>
  </si>
  <si>
    <t>SUNDAY GRAVY PECORINO</t>
  </si>
  <si>
    <t>SUNDAY GRAVY ROSAMARINO</t>
  </si>
  <si>
    <t>VINTAGE SERIES GIGANTE NUB</t>
  </si>
  <si>
    <t>VINTAGE SERIES ROBUSTO GORDO</t>
  </si>
  <si>
    <t>VINTAGE SERIES TORO</t>
  </si>
  <si>
    <t>WHISKEY ROW TORO</t>
  </si>
  <si>
    <t>WHISKEY ROW PX SHERRY CASK TORO</t>
  </si>
  <si>
    <t>MY FATHER CIGARS</t>
  </si>
  <si>
    <t>DON PEPIN GARCIA NICARAGUA VINTAGE TORO</t>
  </si>
  <si>
    <t>DREW ESTATE</t>
  </si>
  <si>
    <t>20 ACRE FARM FLORIDA SUN GROWN ROBUSTO</t>
  </si>
  <si>
    <t>20 ACRE FARM FLORIDA SUN GROWN TORO</t>
  </si>
  <si>
    <t>ACID BLONDIE</t>
  </si>
  <si>
    <t>ACID COLD INFUSION TEA</t>
  </si>
  <si>
    <t>ACID KUBA KUBA</t>
  </si>
  <si>
    <t>ACID 20TH ANNIVERSARY LE ROBUSTO</t>
  </si>
  <si>
    <t>ACID KRUSH BLUE CONNECTICUT</t>
  </si>
  <si>
    <t>ACID KRUSH GOLD SUMATRA</t>
  </si>
  <si>
    <t>ACID KRUSH GREEN CANDELLA</t>
  </si>
  <si>
    <t>ACID KRUSH MORADO MADURO</t>
  </si>
  <si>
    <t>ACID RED CAMEROON</t>
  </si>
  <si>
    <t>ACID MADURO KUBA KUBA</t>
  </si>
  <si>
    <t>AMBROSIA CLOVE TIKI CORONETS</t>
  </si>
  <si>
    <t>BLACKENED M81 CORONA</t>
  </si>
  <si>
    <t>BLACKENED M81 CORONA DOBLE</t>
  </si>
  <si>
    <t>BLACKENED M81 ROBUSTO</t>
  </si>
  <si>
    <t>BLACKENED M81 TORO</t>
  </si>
  <si>
    <t>DEADWOOD BABY JANE CORONETS</t>
  </si>
  <si>
    <t>DEADWOOD CRAZY ALICE</t>
  </si>
  <si>
    <t>DEADWOOD FAT BOTTOM BETTY</t>
  </si>
  <si>
    <t>DEADWOOD LEATHER ROSE PETITE CORONA</t>
  </si>
  <si>
    <t>DEADWOOD LEATHER ROSE TORPEDO</t>
  </si>
  <si>
    <t>DEADWOOD SWEET JANE</t>
  </si>
  <si>
    <t>FACTORY SMOKES CT SHADE CHURCHILL</t>
  </si>
  <si>
    <t>FACTORY SMOKES CT SHADE ROBUSTO</t>
  </si>
  <si>
    <t>FACTORY SMOKES CT SHADE TORO</t>
  </si>
  <si>
    <t>FACTORY SMOKES MADURO CHURCHILL</t>
  </si>
  <si>
    <t>FACTORY SMOKES MADURO GORDO</t>
  </si>
  <si>
    <t>FACTORY SMOKES MADURO ROBUSTO</t>
  </si>
  <si>
    <t>FACTORY SMOKES MADURO TORO</t>
  </si>
  <si>
    <t>FACTORY SMOKES SUN GROWN CHURCHILL</t>
  </si>
  <si>
    <t>FACTORY SMOKES SUN GROWN ROBUSTO</t>
  </si>
  <si>
    <t>FACTORY SMOKES SUN GROWN TORO</t>
  </si>
  <si>
    <t>FACTORY SMOKES SWEETS CHURCHILL</t>
  </si>
  <si>
    <t>FACTORY SMOKES SWEETS ROBUSTO</t>
  </si>
  <si>
    <t>ISLA DEL SOL BREVE</t>
  </si>
  <si>
    <t>ISLA DEL SOL GRAN CORONA</t>
  </si>
  <si>
    <t>ISLA DEL SOL ROBUSTO</t>
  </si>
  <si>
    <t>ISLA DEL SOL TORO</t>
  </si>
  <si>
    <t>ISLA DEL SOL MADURO BREVE</t>
  </si>
  <si>
    <t>ISLA DEL SOL MADURO GRAN CORONA</t>
  </si>
  <si>
    <t>ISLA DEL SOL MADURO ROBUSTO</t>
  </si>
  <si>
    <t>ISLA DEL SOL MADURO TORO</t>
  </si>
  <si>
    <t>KENTUCKY FIRE CURED SWEETS PONIES CORONETS</t>
  </si>
  <si>
    <t>KENTUCKY FIRE CURED SWAMP THANG</t>
  </si>
  <si>
    <t>KENTUCKY FIRE CURED SWEETS CHUNKY</t>
  </si>
  <si>
    <t>LA VIEJA HABANA BRAZILIAN MADURO ROTHSCHILD</t>
  </si>
  <si>
    <t>LA VIEJA HABANA CONNECTICUT SHADE CHATEAU CORONA</t>
  </si>
  <si>
    <t>LA VIEJA HABANA CONNECTICUT SHADE ROTHSCHILD</t>
  </si>
  <si>
    <t>LA VIEJA HABANA CUBAN COROJO CHATEAU CORONA</t>
  </si>
  <si>
    <t>LA VIEJA HABANA CUBAN COROJO ROTHSCHILD</t>
  </si>
  <si>
    <t>LIGA PRIVADA H99 PAPAS FRITAS</t>
  </si>
  <si>
    <t>LIGA PRIVADA H99 TORO</t>
  </si>
  <si>
    <t>LIGA PRIVADA NO.9 CORONETS</t>
  </si>
  <si>
    <t>LIGA PRIVADA NO.9 FLYING PIG</t>
  </si>
  <si>
    <t>LIGA PRIVADA NO.9 PETIT CORONA</t>
  </si>
  <si>
    <t>LIGA PRIVADA NO.9 ROBUSTO</t>
  </si>
  <si>
    <t>LIGA PRIVADA T52 CORONETS</t>
  </si>
  <si>
    <t>LIGA PRIVADA T52 FLYING PIG</t>
  </si>
  <si>
    <t>LIGA PRIVADA T52 PETIT CORONA</t>
  </si>
  <si>
    <t>LIGA PRIVADA T52 ROBUSTO</t>
  </si>
  <si>
    <t>LIGA PRIVADA UNICO FERAL FLYING PIG</t>
  </si>
  <si>
    <t>LIGA PRIVADA UNICO L40</t>
  </si>
  <si>
    <t>LIGA PRIVADA UNICO NASTY FRITAS</t>
  </si>
  <si>
    <t>LIGA PRIVADA UNICO PAPAS FRITAS</t>
  </si>
  <si>
    <t>LIGA PRIVADA UNICO RATZILLA</t>
  </si>
  <si>
    <t>LIGA PRIVADA UNICO UF13</t>
  </si>
  <si>
    <t>LIGA PRIVADA UNICO VELVET RAT</t>
  </si>
  <si>
    <t>MY UZI WEIGHS A TON +11 ROBUSTO EXTRA</t>
  </si>
  <si>
    <t>MY UZI WEIGHS A TON 6X60</t>
  </si>
  <si>
    <t>MY UZI WEIGHS A TON BAIT FISH</t>
  </si>
  <si>
    <t>MY UZI WEIGHS A TON NIGHTCRAWLER</t>
  </si>
  <si>
    <t>PAPPY VAN WINKLE FAMILY RESERVE BARREL FERMENTED TORO</t>
  </si>
  <si>
    <t>NICA RUSTICA EL BRUJITO</t>
  </si>
  <si>
    <t>NICA RUSTICA SHORT ROBUSTO</t>
  </si>
  <si>
    <t>NICA RUSTICA ADOBE GORDO</t>
  </si>
  <si>
    <t>NICA RUSTICA ADOBE TORO</t>
  </si>
  <si>
    <t>TABAK ESPECIAL DULCE BELICOSO</t>
  </si>
  <si>
    <t>TABAK ESPECIAL DULCE CAFECITA</t>
  </si>
  <si>
    <t>TABAK ESPECIAL DULCE COLADA</t>
  </si>
  <si>
    <t>TABAK ESPECIAL NEGRA BELICOSO</t>
  </si>
  <si>
    <t>TABAK ESPECIAL NEGRA CAFECITA</t>
  </si>
  <si>
    <t>TABAK ESPECIAL NEGRA COLADA</t>
  </si>
  <si>
    <t>UNDERCROWN 10 CORONA DOBLE</t>
  </si>
  <si>
    <t>UNDERCROWN 10 CORONA VIVA</t>
  </si>
  <si>
    <t>UNDERCROWN 10 ROBUSTO</t>
  </si>
  <si>
    <t>UNDERCROWN 10 TORO</t>
  </si>
  <si>
    <t>UNDERCROWN MADURO CORONETS</t>
  </si>
  <si>
    <t>UNDERCROWN MADURO DOGMA</t>
  </si>
  <si>
    <t>UNDERCROWN MADURO FLYING PIG</t>
  </si>
  <si>
    <t>UNDERCROWN MADURO GRAN TORO</t>
  </si>
  <si>
    <t>UNDERCROWN MADURO PEQUENA</t>
  </si>
  <si>
    <t>UNDERCROWN MADURO ROBUSTO</t>
  </si>
  <si>
    <t>UNDERCROWN MADURO SHADY XX</t>
  </si>
  <si>
    <t>UNDERCROWN SHADE CORONETS</t>
  </si>
  <si>
    <t>UNDERCROWN SHADE FLYING PIG</t>
  </si>
  <si>
    <t>UNDERCROWN SHADE GRAN TORO</t>
  </si>
  <si>
    <t>UNDERCROWN SHADE LE SUPREMA</t>
  </si>
  <si>
    <t>UNDERCROWN SHADE PEQUENA</t>
  </si>
  <si>
    <t>UNDERCROWN SHADE ROBUSTO</t>
  </si>
  <si>
    <t>UNDERCROWN SUN GROWN CORONETS</t>
  </si>
  <si>
    <t>UNDERCROWN SUN GROWN DOGMA</t>
  </si>
  <si>
    <t>UNDERCROWN SUN GROWN GRAN TORO</t>
  </si>
  <si>
    <t>UNDERCROWN SUN GROWN ROBUSTO</t>
  </si>
  <si>
    <t>DUNBARTON</t>
  </si>
  <si>
    <t>CHOCHADA CORONA</t>
  </si>
  <si>
    <t>MI QUERIDA RED NO.448</t>
  </si>
  <si>
    <t>MI QUERIDA BLUE ANCHO CORTO</t>
  </si>
  <si>
    <t>MI QUERIDA RED NO.648</t>
  </si>
  <si>
    <t>MI QUERIDA RED NO.652</t>
  </si>
  <si>
    <t>MUESTRA DE SAKA NACATAMALE LE</t>
  </si>
  <si>
    <t>SIN COMPROMISO SELECCION INTREPIDO</t>
  </si>
  <si>
    <t>SIN COMPROMISO SELECCION NO.2</t>
  </si>
  <si>
    <t>SOBREMESA EL AMERICANO</t>
  </si>
  <si>
    <t>SOBREMESA BRULEE ROBUSTO</t>
  </si>
  <si>
    <t>UMBAGOG CORONA GORDA</t>
  </si>
  <si>
    <t>UMBAGOG ROBUSTO PLUS</t>
  </si>
  <si>
    <t>STILLWELL STAR AROMATIC NO.1</t>
  </si>
  <si>
    <t>STILLWELL STAR BAYOU</t>
  </si>
  <si>
    <t>STILLWELL STAR ENGLISH NO.27</t>
  </si>
  <si>
    <t>STILLWELL STAR NAVY NO.1056</t>
  </si>
  <si>
    <t>STILLWELL STAR HOLIDAY 2022</t>
  </si>
  <si>
    <t>DONDURMA TORO</t>
  </si>
  <si>
    <t>E.P. CARRILLO</t>
  </si>
  <si>
    <t>ALLEGIANCE ROBUSTO</t>
  </si>
  <si>
    <t>ALLEGIANCE TORO</t>
  </si>
  <si>
    <t>ELITE SERIES SELECCION OSCURO SMALL CHURCHILL</t>
  </si>
  <si>
    <t>ENCORE MAJESTIC</t>
  </si>
  <si>
    <t>ENCORE VALIENTES TORPEDO</t>
  </si>
  <si>
    <t>LA HISTORIA DONA ELENA</t>
  </si>
  <si>
    <t>LA HISTORIA EL SENADOR</t>
  </si>
  <si>
    <t>PLEDGE APOGEE</t>
  </si>
  <si>
    <t>PLEDGE PREQUEL</t>
  </si>
  <si>
    <t>PLEDGE SOJOURN</t>
  </si>
  <si>
    <t>ESPINOSA</t>
  </si>
  <si>
    <t>KNUCKLE SANDWHICH CONNECTICUT TORO H</t>
  </si>
  <si>
    <t>LAS 6 PROVINCIAS LV ROBUSTO EXTRA</t>
  </si>
  <si>
    <t>SENSEI'S SENSATIONAL SARSAPARILLA BELICOSO</t>
  </si>
  <si>
    <t>FOUNDATION CIGARS</t>
  </si>
  <si>
    <t>EL GUEGUENSE THE WISE MAN 5 YEAR ANIVERSARIO PERFECTO</t>
  </si>
  <si>
    <t>EL GUEGUENSE THE WISE MAN MADURO CORONA GORDA</t>
  </si>
  <si>
    <t>EL GUEGUENSE THE WISE MAN MADURO TORO HUACO</t>
  </si>
  <si>
    <t>CHARTER OAK CT BROADLEAF MADURO PETITE CORONA</t>
  </si>
  <si>
    <t>CHARTER OAK CT BROADLEAF MADURO ROTHSCHILD</t>
  </si>
  <si>
    <t>CHARTER OAK CT SHADE PETITE CORONA</t>
  </si>
  <si>
    <t>CHARTER OAK CT SHADE ROTHSCHILD</t>
  </si>
  <si>
    <t>CHARTER OAK HABANO LONSDALE</t>
  </si>
  <si>
    <t>CHARTER OAK HABANO PETITE CORONA</t>
  </si>
  <si>
    <t>CHARTER OAK HABANO ROTHSCHILD</t>
  </si>
  <si>
    <t>EL GUEGUENSE THE WISE MAN NATURAL TORO HUACO</t>
  </si>
  <si>
    <t>MENELIK PETITE ROBUSTO</t>
  </si>
  <si>
    <t>MENELIK TORO</t>
  </si>
  <si>
    <t>OLMEC MADURO TORO</t>
  </si>
  <si>
    <t>THE TABERNACLE DAVID &amp; GOLIATH GOLIATH PERFECTO</t>
  </si>
  <si>
    <t>THE UPSETTERS SMALL AX CT</t>
  </si>
  <si>
    <t>FRATELLO</t>
  </si>
  <si>
    <t>2018 DMV DC LE TORO</t>
  </si>
  <si>
    <t>ARLEQUIN ROBUSTO BP</t>
  </si>
  <si>
    <t>ARLEQUIN TOPRO BP</t>
  </si>
  <si>
    <t>BIANCO BOXER</t>
  </si>
  <si>
    <t>BIANCO FUOCO</t>
  </si>
  <si>
    <t>BIANCO III ROBUSTO</t>
  </si>
  <si>
    <t>CLASSICO BOXER</t>
  </si>
  <si>
    <t>CLASSICO FUOCO</t>
  </si>
  <si>
    <t>CLASSICO PICCOLO</t>
  </si>
  <si>
    <t>INVERSO PIGTAIL</t>
  </si>
  <si>
    <t>INVERSO BOXER</t>
  </si>
  <si>
    <t>INVERSO TORO</t>
  </si>
  <si>
    <t>LE PERFECTO</t>
  </si>
  <si>
    <t>NAVETTA ROBUSTO</t>
  </si>
  <si>
    <t>NAVETTA BOXER</t>
  </si>
  <si>
    <t>INVERSO ROBUSTO</t>
  </si>
  <si>
    <t>ORO BOXER</t>
  </si>
  <si>
    <t>ORO CORONA</t>
  </si>
  <si>
    <t>ORO SHORTY</t>
  </si>
  <si>
    <t>FUMAS TORO</t>
  </si>
  <si>
    <t>GRAN HABANO</t>
  </si>
  <si>
    <t>GUARDIAN OF THE FARM</t>
  </si>
  <si>
    <t>GURKHA</t>
  </si>
  <si>
    <t>H. UPMANN</t>
  </si>
  <si>
    <t>COROJO SHORTY ROBUSTO</t>
  </si>
  <si>
    <t>HABANO ROTHSCHILD</t>
  </si>
  <si>
    <t>NIGHT WATCH CAMPEON</t>
  </si>
  <si>
    <t>NIGHT WATCH RAMBO</t>
  </si>
  <si>
    <t>WARPED CO-LAB CAMPEON</t>
  </si>
  <si>
    <t>CASTLE HALL NICARAGUA MAGNUM</t>
  </si>
  <si>
    <t>1844 RESERVE APERTIFS</t>
  </si>
  <si>
    <t>1844 RESERVE DEMI TASSE</t>
  </si>
  <si>
    <t>HENRY CLAY</t>
  </si>
  <si>
    <t>RUSTIC CHEROOT</t>
  </si>
  <si>
    <t>WAR HAWK CORONA</t>
  </si>
  <si>
    <t>WAR HAWK TORO</t>
  </si>
  <si>
    <t>HERRERA ESTELI</t>
  </si>
  <si>
    <t>BRAZILIAN MADURO PIRAMIDE FINO</t>
  </si>
  <si>
    <t>BRAZILIAN MADURO SHORT CORONA GORDA</t>
  </si>
  <si>
    <t>HABANO PIRAMIDE FINO</t>
  </si>
  <si>
    <t>HABANO SHORT CORONA GORDA</t>
  </si>
  <si>
    <t>NORTENO LONSDALE</t>
  </si>
  <si>
    <t>NORTENO SHORT CORONA GORDA</t>
  </si>
  <si>
    <t>1844 RESERVE CORONA</t>
  </si>
  <si>
    <t>1844 RESERVE CORONA MAJOR</t>
  </si>
  <si>
    <t>MONTECRISTO</t>
  </si>
  <si>
    <t>1935 ANNIVERSARY CHURCHILL</t>
  </si>
  <si>
    <t>1935 ANNIVERSARY DEMI</t>
  </si>
  <si>
    <t>1935 ANNIVERSARY NO.2</t>
  </si>
  <si>
    <t>HVC</t>
  </si>
  <si>
    <t>10TH ANNIVERSARY TORO</t>
  </si>
  <si>
    <t>500 YEARS ANNIVERSARY SELECTOS</t>
  </si>
  <si>
    <t>500 YEARS ANNIVERSARY TESORES</t>
  </si>
  <si>
    <t>BLACK FRIDAY 2022 ROBUSTO EXTRA LIMITED</t>
  </si>
  <si>
    <t>BLACK FRIDAY 2023 PETIT GORDOS LIMITED</t>
  </si>
  <si>
    <t>EDICION ESPECIAL 2015 CORONA</t>
  </si>
  <si>
    <t>EDICION ESPECIAL 2015 TORO</t>
  </si>
  <si>
    <t>HOT CAKE GOLDEN LINE CONNECTICUT CORONAS GORDAS</t>
  </si>
  <si>
    <t>HOT CAKE GOLDEN LINE CONNECTICUT LAGUITO #4</t>
  </si>
  <si>
    <t>HOT CAKE GOLDEN LINE CONNECTICUT LAGUITO #5</t>
  </si>
  <si>
    <t>HOT CAKE MADURO CORONA GORDA</t>
  </si>
  <si>
    <t>HOT CAKE MADURO LAGUITO #4</t>
  </si>
  <si>
    <t>SELECCION NO.1 MADURO ESENCIALES</t>
  </si>
  <si>
    <t>SELECCION NO.1 NATURAL PODEROSOS</t>
  </si>
  <si>
    <t>SELECCION NO.1 MADURO PODEROSOS</t>
  </si>
  <si>
    <t>SELECCION NO.1 MADURO SHORT ROBUSTO</t>
  </si>
  <si>
    <t>SELECCION NO.1 NATURAL SHORT ROBUSTO</t>
  </si>
  <si>
    <t>J.C. NEWMAN</t>
  </si>
  <si>
    <t>DUTCH DELITES MADURO WILD BRAZIL</t>
  </si>
  <si>
    <t>DUTCH DELITES NATURAL WILD SUMATRA</t>
  </si>
  <si>
    <t>EL BATON BELICOSO</t>
  </si>
  <si>
    <t>EL BATON DOUBLE TORPEDO</t>
  </si>
  <si>
    <t>LA UNICA MADURO #500 CORONA</t>
  </si>
  <si>
    <t>LA UNICA NATURAL #500 CORONA</t>
  </si>
  <si>
    <t>LUIS MARTINEZ ASHCROFT CORONA</t>
  </si>
  <si>
    <t>PERLA DEL MAR COROJO CORONA GORDA</t>
  </si>
  <si>
    <t>PERLA DEL MAR COROJO ROBUSTO</t>
  </si>
  <si>
    <t>PERLA DEL MAR COROJO TORO</t>
  </si>
  <si>
    <t>PERLA DEL MAR SHADE CORONA GORDA</t>
  </si>
  <si>
    <t>PERLA DEL MAR SHADE ROBUSTO</t>
  </si>
  <si>
    <t>PERLA DEL MAR SHADE SHORT ROBUSTO</t>
  </si>
  <si>
    <t>PERLA DEL MAR SHADE TORO</t>
  </si>
  <si>
    <t>HAVANA Q DOUBLE ROBUSTO</t>
  </si>
  <si>
    <t>HAVANA Q DOUBLE TORO</t>
  </si>
  <si>
    <t>QUORUM CLASSIC SHORT ROBUSTO</t>
  </si>
  <si>
    <t>QUORUM CLASSIC TRES PETIT CORONA</t>
  </si>
  <si>
    <t>QUORUM SHADE CORONA</t>
  </si>
  <si>
    <t>QUORUM SHADE SHORT ROBUSTO</t>
  </si>
  <si>
    <t>QUORUM SHADE TRES PETIT</t>
  </si>
  <si>
    <t>QUORUM MADURO CORONA</t>
  </si>
  <si>
    <t>QUORUM MADURO ROBUSTO</t>
  </si>
  <si>
    <t>QUORUM MADURO TORO</t>
  </si>
  <si>
    <t>JOYA DE NICARAGUA</t>
  </si>
  <si>
    <t>JOYA BLACK CORONETS</t>
  </si>
  <si>
    <t>JOYA BLACK NOCTURNO CORONA</t>
  </si>
  <si>
    <t>JOYA BLACK TORO</t>
  </si>
  <si>
    <t>JOYA CABINETTA ROBUSTO</t>
  </si>
  <si>
    <t>JOYA CABINETTA TORO</t>
  </si>
  <si>
    <t>JOYA RED CORONETS</t>
  </si>
  <si>
    <t>JOYA RED TORO</t>
  </si>
  <si>
    <t>JOYA SILVER TORO</t>
  </si>
  <si>
    <t>JOYA SILVER ULTRA CORONA</t>
  </si>
  <si>
    <t>ROSALONES AUTENTICOS TORO 654</t>
  </si>
  <si>
    <t>ROSALONES AUTENTICOS SHORT GORDO 460</t>
  </si>
  <si>
    <t>ROSALONES RESERVA PETIT CORONA 444</t>
  </si>
  <si>
    <t>ROSALONES RESERVA TORO 650</t>
  </si>
  <si>
    <t>JFR</t>
  </si>
  <si>
    <t>LUNATIC LOCO MADURO EL LOQUITO</t>
  </si>
  <si>
    <t>ANTANO 1970 CONSUL</t>
  </si>
  <si>
    <t>ANTANO 1970 CORONETS</t>
  </si>
  <si>
    <t>ANTANO CT CORONA GORDA</t>
  </si>
  <si>
    <t>ANTANO DARK COROJO EL MARTILLO</t>
  </si>
  <si>
    <t>ANTANO GRAN RESERVA LE GT20</t>
  </si>
  <si>
    <t>CINCO DE CINCO ROBUSTO</t>
  </si>
  <si>
    <t>CINCO DE CINCO TORO</t>
  </si>
  <si>
    <t>CINCO DECADAS EL EMBARGO</t>
  </si>
  <si>
    <t>CINCO DECADAS FUNDADOR</t>
  </si>
  <si>
    <t>CLASICO MEDIO SIGLO NUMERO 6</t>
  </si>
  <si>
    <t>CLASICO MEDIO SIGLO ROBUSTO</t>
  </si>
  <si>
    <t>CLASICO MEDIO SIGLO TORO</t>
  </si>
  <si>
    <t>CLASICO PICCOLINO</t>
  </si>
  <si>
    <t>CUATRO CINCO RESERVA ESPECIAL MIX</t>
  </si>
  <si>
    <t>CUATRO CINCO RESERVA ESPECIAL PETIT CORONA</t>
  </si>
  <si>
    <t>CUATRO CINCO RESERVA ESPECIAL TORO</t>
  </si>
  <si>
    <t>FLOR DE NICARAGUA COLORADO ROBUSTO</t>
  </si>
  <si>
    <t>FLOR DE NICARAGUA COLORADO TORO</t>
  </si>
  <si>
    <t>NUMERO UNO L'AMBASSADEUR</t>
  </si>
  <si>
    <t>TRIPA LARGA DE TORCEDOR GRAN CANON</t>
  </si>
  <si>
    <t>TRIPA LARGA DE TORCEDOR ESTELIANO GRAN CANON</t>
  </si>
  <si>
    <t>TRIPA LARGA DE TORCEDOR ROJO GRAN CANON</t>
  </si>
  <si>
    <t>KAFIE 1901</t>
  </si>
  <si>
    <t>CONNECTICUT DR ROBUSTO</t>
  </si>
  <si>
    <t>CONNECTICUT DR TORO</t>
  </si>
  <si>
    <t>DON FERNANDO MADURO TORO</t>
  </si>
  <si>
    <t>DON FERNANDO MADURO V SIXTY</t>
  </si>
  <si>
    <t>LIGA DE LA CASA CONNECTICUT DR ROBUSTO</t>
  </si>
  <si>
    <t>LIGA DE LA CASA CONNECTICUT DR TORO</t>
  </si>
  <si>
    <t>LIGA DE LA CASA MADURO DR ROBUSTO</t>
  </si>
  <si>
    <t>LIGA DE LA CASA MADURO DR TORO</t>
  </si>
  <si>
    <t>LIGA DE LA CASA NATURAL DR ROBUSTO</t>
  </si>
  <si>
    <t>LIGA DE LA CASA NATURAL DR TORO</t>
  </si>
  <si>
    <t>MADURO DR ROBUSTO</t>
  </si>
  <si>
    <t>MADURO DR TORO</t>
  </si>
  <si>
    <t>NAKED CIGARS CONNECTICUT DR ROBUSTO</t>
  </si>
  <si>
    <t>NAKED CIGARS CONNECTICUT DR TORO</t>
  </si>
  <si>
    <t>NAKED CIGARS MADURO DR ROBUSTO</t>
  </si>
  <si>
    <t>NAKED CIGARS MADURO DR TORO</t>
  </si>
  <si>
    <t>NAKED CIGARS NATURAL DR ROBUSTO</t>
  </si>
  <si>
    <t>NAKED CIGARS NATURAL DR TORO</t>
  </si>
  <si>
    <t>SAN ANDRES DR ROBUSTO</t>
  </si>
  <si>
    <t>SAN ANDRES DR TORO</t>
  </si>
  <si>
    <t>SAN ANDRES MADURO SIX FORTY TWO</t>
  </si>
  <si>
    <t>SAN ANDRES MADURO TORO</t>
  </si>
  <si>
    <t>SERIE L NATURAL DR ROBUSTO</t>
  </si>
  <si>
    <t>SERIE L NATURAL DR TORO</t>
  </si>
  <si>
    <t>SUMATRA TORO</t>
  </si>
  <si>
    <t>KRISTOFF</t>
  </si>
  <si>
    <t>LA AURORA</t>
  </si>
  <si>
    <t>LA GLORIA CUBANA</t>
  </si>
  <si>
    <t>CRIOLLO LANCERO</t>
  </si>
  <si>
    <t>CRIOLLO ROBUSTO</t>
  </si>
  <si>
    <t>LIGERO MADURO LANCERO</t>
  </si>
  <si>
    <t>PISTOFF KRISTOFF CORONA GORDA</t>
  </si>
  <si>
    <t>DOMINICAN ADN ROBUSTO</t>
  </si>
  <si>
    <t>DOMINICAN ADN TORO</t>
  </si>
  <si>
    <t>8TH STREET TORO</t>
  </si>
  <si>
    <t>MEDIO TIEMPO CHURCHILL</t>
  </si>
  <si>
    <t>MEDIO TIEMPO ROBUSTO</t>
  </si>
  <si>
    <t>MEDIO TIEMPO TORO</t>
  </si>
  <si>
    <t>SOCIETY CIGAR TORO</t>
  </si>
  <si>
    <t>CAFÉ ASCOTS</t>
  </si>
  <si>
    <t>CAFÉ CRYSTAL GLASS</t>
  </si>
  <si>
    <t>CAFÉ DIPLOMAT</t>
  </si>
  <si>
    <t>GOLD LABEL ASCOTS</t>
  </si>
  <si>
    <t>GOLD LABEL DUKE OF YORK</t>
  </si>
  <si>
    <t>MADURO ASCOTS</t>
  </si>
  <si>
    <t>MADURO DIPLOMAT</t>
  </si>
  <si>
    <t>MIAMI CIGAR &amp; CO</t>
  </si>
  <si>
    <t>DON LINO AFRICA KIFARU</t>
  </si>
  <si>
    <t>BELICOSO MIX</t>
  </si>
  <si>
    <t>DON PEPIN GARCIA ORIGINAL LANCERO</t>
  </si>
  <si>
    <t>DON PEPIN GARCIA NICARAGUA VINTAGE ROBUSTO</t>
  </si>
  <si>
    <t>EL CENTURION H-2K-CT CORONA</t>
  </si>
  <si>
    <t>FLOR DE LAS ANTILLAS ROBUSTO EXTRA</t>
  </si>
  <si>
    <t>FLOR DE LAS ANTILLAS TORO</t>
  </si>
  <si>
    <t>LE BIJOU 1922 CHURCHILL</t>
  </si>
  <si>
    <t>LE BIJOU 1922 TORO</t>
  </si>
  <si>
    <t>MY FATHER NO.4 LANCERO</t>
  </si>
  <si>
    <t>TOBACOS BAEZ SERIE SF TORO</t>
  </si>
  <si>
    <t>ODYSSEY</t>
  </si>
  <si>
    <t>NUB NUANCE DOUBLE ROAST</t>
  </si>
  <si>
    <t>NUB NUANCE SINGLE ROAST</t>
  </si>
  <si>
    <t>NUB NUANCE TRIPLE ROAST</t>
  </si>
  <si>
    <t>CONNECTICUT CORONA</t>
  </si>
  <si>
    <t>HABANO CORONA</t>
  </si>
  <si>
    <t>MADURO CORONA</t>
  </si>
  <si>
    <t>BAPTISTE MADURO TORPEDO</t>
  </si>
  <si>
    <t>BAPTISTE NATURAL TORPEDO</t>
  </si>
  <si>
    <t>CAIN 550 HABANO</t>
  </si>
  <si>
    <t>CAIN 550 MADURO</t>
  </si>
  <si>
    <t>CONNECTICUT RESERVE PETIT CORONA</t>
  </si>
  <si>
    <t>NUB CAMEROON 464 TORPEDO</t>
  </si>
  <si>
    <t>NUB CONNECTICUT 460</t>
  </si>
  <si>
    <t>NUB CONNECTICUT 464 TORPEDO</t>
  </si>
  <si>
    <t>NUB HABANO 460</t>
  </si>
  <si>
    <t>NUB HABANO 464 TORPEDO</t>
  </si>
  <si>
    <t>NUB MADURO 460</t>
  </si>
  <si>
    <t>NUB MADURO 464 MADURO</t>
  </si>
  <si>
    <t>SERIE G CAMEROON SPECIAL G PERFECTO</t>
  </si>
  <si>
    <t>SERIE G CAMEROON TORPEDO</t>
  </si>
  <si>
    <t>SERIE G CONNECTICUT BROADLEAF PRESIDENTE</t>
  </si>
  <si>
    <t>SERIE G CONNECTICUT BROADLEAF SPECIAL G PERFECTO</t>
  </si>
  <si>
    <t>SERIE O COLORADO MADURO PERFECTO</t>
  </si>
  <si>
    <t>SERIE V BELICOSO</t>
  </si>
  <si>
    <t>SERIE V LANCERO</t>
  </si>
  <si>
    <t>SERIE V NO.4 CORONA</t>
  </si>
  <si>
    <t>SERIE V 135TH ANNIVERSARY EDICION LIMITADA PERFECTO</t>
  </si>
  <si>
    <t>SERIE V MELANIO CHURCHILL</t>
  </si>
  <si>
    <t>SERIE V MELANIO FIGURADO</t>
  </si>
  <si>
    <t>SERIE V MELANIO LANCERO</t>
  </si>
  <si>
    <t>SERIE V MELANIO PETIT CORONA NO.4</t>
  </si>
  <si>
    <t>SERIE V MELANIO ROBUSTO</t>
  </si>
  <si>
    <t>SERIE V MELANIO SHORT ROBUSTO</t>
  </si>
  <si>
    <t>SERIE V MELANIO TORO EXTRA</t>
  </si>
  <si>
    <t>SERIE V MELANIO MADURO CHURCHILL</t>
  </si>
  <si>
    <t>SERIE V MELANIO MADURO FIGURADO</t>
  </si>
  <si>
    <t>SERIE V MELANIO MADURO PETIT CORONA NO.4</t>
  </si>
  <si>
    <t>SERIE V MELANIO MADURO ROBUSTO</t>
  </si>
  <si>
    <t>OSCAR VALLADARES</t>
  </si>
  <si>
    <t>THE WOODY GIANT</t>
  </si>
  <si>
    <t>WILD HUNTER NATURAL TORO</t>
  </si>
  <si>
    <t>PADRON</t>
  </si>
  <si>
    <t>1964 ANNIVERSARY SERIES MADURO HERMOSO</t>
  </si>
  <si>
    <t>1964 ANNIVERSARY SERIES NATURAL HERMOSO</t>
  </si>
  <si>
    <t>MADURO #2000</t>
  </si>
  <si>
    <t>NATURAL #2000</t>
  </si>
  <si>
    <t>MADURO #4000</t>
  </si>
  <si>
    <t>NATURAL #4000</t>
  </si>
  <si>
    <t>PARTAGAS</t>
  </si>
  <si>
    <t>ANEJO ESPLENDIDO</t>
  </si>
  <si>
    <t>PERDOMO</t>
  </si>
  <si>
    <t>LOT 23 CONNECTICUT ROBUSTO</t>
  </si>
  <si>
    <t>LOT 23 HABANO SUN GROWN ROBUSTO</t>
  </si>
  <si>
    <t>LOT 23 MADURO ROBUSTO</t>
  </si>
  <si>
    <t>RESERVE 10TH ANNIVERSARY CHAMPAGNE CORONA EXTRA</t>
  </si>
  <si>
    <t>RESERVE 10TH ANNIVERSARY CHAMPAGNE EPICURE</t>
  </si>
  <si>
    <t>RESERVE 10TH ANNIVERSARY MADURO EPICURE</t>
  </si>
  <si>
    <t>RESERVE 10TH ANNIVERSARY SUN GROWN EPICURE</t>
  </si>
  <si>
    <t>20TH ANNIVERSARY CONNECTICUT ROBUSTO</t>
  </si>
  <si>
    <t>20TH ANNIVERSARY MADURO ROBUSTO</t>
  </si>
  <si>
    <t>20TH ANNIVERSARY SUN GROWN ROBUSTO</t>
  </si>
  <si>
    <t>PLASENCIA</t>
  </si>
  <si>
    <t>ALMA DEL CAMPO SENDERO TORO GORDO</t>
  </si>
  <si>
    <t>ALMA DEL CAMPO TRAVESIA TORO EXTRA</t>
  </si>
  <si>
    <t>ALMA DEL CAMPO TRIBUO ROBUSTO</t>
  </si>
  <si>
    <t>ALMA DEL FUEGO CANDENTE ROBUSTO</t>
  </si>
  <si>
    <t>ALMA DEL FUEGO CONCEPCION TORO</t>
  </si>
  <si>
    <t>ALMA DEL FUEGO FLAMA PANATELA</t>
  </si>
  <si>
    <t>ALMA FUERTE GENERACION V SALOMON</t>
  </si>
  <si>
    <t>ALMA FUERTE NESTOR IV TORO</t>
  </si>
  <si>
    <t>ALMA FUERTE ROBUSTUS ROBUSTO</t>
  </si>
  <si>
    <t>ALMA FUERTE SIXTO II HEXAGON</t>
  </si>
  <si>
    <t>ALMA FUERTE COLORADO CLARO EDUARDO I TORO</t>
  </si>
  <si>
    <t>COSECHA 146 LA MUSICA ROBUSTO</t>
  </si>
  <si>
    <t>COSECHA 146 SAN LUIS TORO</t>
  </si>
  <si>
    <t>COSECHA 149 AZACUALPA TORO</t>
  </si>
  <si>
    <t>COSECHA 149 SANTA FE GORDITO</t>
  </si>
  <si>
    <t>EHTEFAL LE TORO</t>
  </si>
  <si>
    <t>HARVESTER &amp; CO CHURCHILL</t>
  </si>
  <si>
    <t>HARVESTER &amp; CO ROBUSTO</t>
  </si>
  <si>
    <t>HARVESTER &amp; CO TORO</t>
  </si>
  <si>
    <t>RESERVA 1898 CORONA</t>
  </si>
  <si>
    <t>RESERVA 1898 ROBUSTO</t>
  </si>
  <si>
    <t>RESERVA 1898 TORO</t>
  </si>
  <si>
    <t>RESERVA ORIGINAL CORTEZ</t>
  </si>
  <si>
    <t>RESERVA ORIGINAL NESTICOS</t>
  </si>
  <si>
    <t>RESERVA ORIGINAL ROBUSTO</t>
  </si>
  <si>
    <t>RESERVA ORIGINAL TORO</t>
  </si>
  <si>
    <t>YEAR OF THE RABBIT LE TORO</t>
  </si>
  <si>
    <t>PONCE</t>
  </si>
  <si>
    <t>POWSTANIE</t>
  </si>
  <si>
    <t>CORONA LARGO</t>
  </si>
  <si>
    <t>TORO CORTO</t>
  </si>
  <si>
    <t>SUMATRA CORONA LARGO</t>
  </si>
  <si>
    <t>SUMATRA ROBUSTO</t>
  </si>
  <si>
    <t>SUMATRA TORO CORTO</t>
  </si>
  <si>
    <t>BROADLEAF BELICOSO</t>
  </si>
  <si>
    <t>BROADLEAF PERFECTO</t>
  </si>
  <si>
    <t>HABANO BELICOSO</t>
  </si>
  <si>
    <t>HABANO PERFECTO</t>
  </si>
  <si>
    <t>WOJTEK LE 2020 WAR BEAR TORO</t>
  </si>
  <si>
    <t>WOJTEK LE 2021 WAR BEAR TORO</t>
  </si>
  <si>
    <t>PUNCH</t>
  </si>
  <si>
    <t>STUMP FIGURADO</t>
  </si>
  <si>
    <t>GOLDEN ERA TORO</t>
  </si>
  <si>
    <t>LE FU MANCHU TORO</t>
  </si>
  <si>
    <t>LE SPRING ROLL</t>
  </si>
  <si>
    <t>RARE COROJO ARISTOCRAT GRAND PERFECTO</t>
  </si>
  <si>
    <t>CIGARILLOS</t>
  </si>
  <si>
    <t>QUESADA</t>
  </si>
  <si>
    <t>40TH ANNIVERSARY ROBUSTO</t>
  </si>
  <si>
    <t>40TH ANNIVERSARY TORO</t>
  </si>
  <si>
    <t>CASA MAGNA COLORADO GIGANTO</t>
  </si>
  <si>
    <t>CASA MAGNA COLORADO PIKITO</t>
  </si>
  <si>
    <t>CASA MAGNA COLORADO ROBUSTO</t>
  </si>
  <si>
    <t>CASA MAGNA D. MAGNUS II CALIGULA BP</t>
  </si>
  <si>
    <t>CASA MAGNA D. MAGNUS II PRIMUS BP</t>
  </si>
  <si>
    <t>CASA MAGNA LIGA F PETITE CORONA</t>
  </si>
  <si>
    <t>CASA MAGNA OSCURO BELICOSO</t>
  </si>
  <si>
    <t>OKTOBERFEST 10TH ANNIVERSARY BAVARIAN</t>
  </si>
  <si>
    <t>OKTOBERFEST 10TH ANNIVERSARY DAS BOOT</t>
  </si>
  <si>
    <t>OKTOBERFEST 10TH ANNIVERSARY UBER</t>
  </si>
  <si>
    <t>RESERVA PRIVADA TORO</t>
  </si>
  <si>
    <t>RESERVA PRIVADA BARBER-POLE TORO</t>
  </si>
  <si>
    <t>RESERVA PRIVADA OSCURO DOUBLE CORONA</t>
  </si>
  <si>
    <t>SELECCION ESPANA SHORT ROBUSTO</t>
  </si>
  <si>
    <t>TRIBUTO ALVARITO</t>
  </si>
  <si>
    <t>VEGA MAGNA ROBUSTO</t>
  </si>
  <si>
    <t>RIVERSIDE CIGAR SHOP</t>
  </si>
  <si>
    <t>ROCKY PATEL</t>
  </si>
  <si>
    <t>FOSFORO CORONA</t>
  </si>
  <si>
    <t>FOSFORO ROBUSTO</t>
  </si>
  <si>
    <t>FOSFORO TORO</t>
  </si>
  <si>
    <t>DECADE ROBUSTO</t>
  </si>
  <si>
    <t>DECADE ROTHSCHILDE</t>
  </si>
  <si>
    <t>DECADE TORPEDO</t>
  </si>
  <si>
    <t>GRAND RESERVE TORO</t>
  </si>
  <si>
    <t>HAMLET TABAQUERO BALA</t>
  </si>
  <si>
    <t>JAVA LATTE PETITE CORONA</t>
  </si>
  <si>
    <t>LB1 TORO</t>
  </si>
  <si>
    <t>OLDE WORLD RESERVE COROJO ROBUSTO</t>
  </si>
  <si>
    <t>OLDE WORLD RESERVE COROJO TORO</t>
  </si>
  <si>
    <t>OLDE WORLD RESERVE MADURO ROBUSTO</t>
  </si>
  <si>
    <t>OLDE WORLD RESERVE MADURO TORO</t>
  </si>
  <si>
    <t>QUARTER CENTURY TORO</t>
  </si>
  <si>
    <t>SIXTY ROBUSTO</t>
  </si>
  <si>
    <t>SIXTY TORO</t>
  </si>
  <si>
    <t>SUN GROWN JUNIORS</t>
  </si>
  <si>
    <t>SUN GROWN ROTHSCHILDE</t>
  </si>
  <si>
    <t>SUN GROWN MADURO CORONA</t>
  </si>
  <si>
    <t>SUN GROWN MADURO TORO</t>
  </si>
  <si>
    <t>THE 1865 PROJECT TORO</t>
  </si>
  <si>
    <t>THE EDGE 20TH ANNIVERSARY ROBUSTO</t>
  </si>
  <si>
    <t>THE EDGE 20TH ANNIVERSARY TORO</t>
  </si>
  <si>
    <t>THE EDGE COROJO ROTHSCHILDE</t>
  </si>
  <si>
    <t>THE EDGE HABANO SHORT ROBUSTO</t>
  </si>
  <si>
    <t>THE EDGE HABANO ROTHSCHILDE</t>
  </si>
  <si>
    <t>THE EDGE SPECIAL EDITION A-10 SIXTY BARBER POLE</t>
  </si>
  <si>
    <t>THE EDGE SPECIAL EDITION A-10 TORO BARBER POLE</t>
  </si>
  <si>
    <t>THE EDGE SPECIAL EDITION CANDELLA TORO</t>
  </si>
  <si>
    <t>VINTAGE 1990 BROADLEAF JUNIORS</t>
  </si>
  <si>
    <t>VINTAGE 1990 BROADLEAF ROTHSCHILDE</t>
  </si>
  <si>
    <t>VINTAGE 1990 BROADLEAF TORO</t>
  </si>
  <si>
    <t>VINTAGE 1992 SUMATRA JUNIORS</t>
  </si>
  <si>
    <t>VINTAGE 1999 CONNECTICUT JUNIORS</t>
  </si>
  <si>
    <t>VINTAGE 2003 CAMEROON TORPEDO</t>
  </si>
  <si>
    <t>WINTER COLLECTION 2020 TORO</t>
  </si>
  <si>
    <t>ROMA CRAFT TOBAC</t>
  </si>
  <si>
    <t>BAKA GRAN PERFECTO</t>
  </si>
  <si>
    <t>BAKA JENGI</t>
  </si>
  <si>
    <t>CROMAGNON FOMORIAN LE</t>
  </si>
  <si>
    <t>CROMAGNON MODE 5 PERFECTO</t>
  </si>
  <si>
    <t>CROMAGNON PESTERA MUIERILOR</t>
  </si>
  <si>
    <t>CROMAGNON AQUITAINE EMH SABRETOOTH</t>
  </si>
  <si>
    <t>CROMAGNON AQUITAINE MANDIBLE</t>
  </si>
  <si>
    <t>CROMAGNON AQUITAINE PESTERA MUIERILOR</t>
  </si>
  <si>
    <t>INTEMPERANCE BA XXI GRAN PERFECTO</t>
  </si>
  <si>
    <t>INTEMPERANCE EC XVIII GRAN PERFECTO</t>
  </si>
  <si>
    <t>INTEMPERANCE WHISKEY REBELIION 1794 BRADFORD</t>
  </si>
  <si>
    <t>INTEMPERANCE WHISKEY REBELIION 1794 GRAN PERFECTO</t>
  </si>
  <si>
    <t>LE CRAFT 2022 ROBUSTO</t>
  </si>
  <si>
    <t>LE EMH BLACK IRISH 2021 GRAN ROBUSTO</t>
  </si>
  <si>
    <t>NEANDERTHAL GRAN PERFECTO</t>
  </si>
  <si>
    <t>NEANDERTHAL JCF LE</t>
  </si>
  <si>
    <t>CROMAGNON AQUITAINE MODE 5 PERFECTO</t>
  </si>
  <si>
    <t>NEANDERTHAL KFG LE</t>
  </si>
  <si>
    <t>QUINGUAGENARIO ROBUSTO</t>
  </si>
  <si>
    <t>WUNDER|LUST PETIT BELICOSO</t>
  </si>
  <si>
    <t>WUNDER|LUST PETITE GORDO PG COUNTY</t>
  </si>
  <si>
    <t>WUNDER|LUST TORO</t>
  </si>
  <si>
    <t>ROMEO &amp; JULIETA</t>
  </si>
  <si>
    <t>ROOM 101</t>
  </si>
  <si>
    <t>SAINT LUIS REY</t>
  </si>
  <si>
    <t>SANCHO PANZA</t>
  </si>
  <si>
    <t>STOLEN THRONE CIGAR CO.</t>
  </si>
  <si>
    <t>ENVY AMULET LE TORO</t>
  </si>
  <si>
    <t>RESERVA REAL LOVE STORY FIGURADO</t>
  </si>
  <si>
    <t>RESERVA REAL TWISTED TORO</t>
  </si>
  <si>
    <t>WHO SHOT YA TORPEDO</t>
  </si>
  <si>
    <t>CARENAS TORO</t>
  </si>
  <si>
    <t>DOUBLE MADURO LA MANCHA</t>
  </si>
  <si>
    <t>CROOK OF THE CROWN ROBUSTO</t>
  </si>
  <si>
    <t>CROOK OF THE CROWN TORO</t>
  </si>
  <si>
    <t>THREE KINGDOMS ROBUSTO</t>
  </si>
  <si>
    <t>THREE KINGDOMS TORO</t>
  </si>
  <si>
    <t>WINSTON'S HUMIDOR ARGOS TORO</t>
  </si>
  <si>
    <t>TABLE 36</t>
  </si>
  <si>
    <t>TATIANA</t>
  </si>
  <si>
    <t>THE PEACEMAKER THE .45</t>
  </si>
  <si>
    <t>THE PEACEMAKER THE BULLET</t>
  </si>
  <si>
    <t>THE PEACEMAKER THE JUDGE</t>
  </si>
  <si>
    <t>THE PEACEMAKER TIN STAR</t>
  </si>
  <si>
    <t>CHERRY CLASSIC</t>
  </si>
  <si>
    <t>CHERRY DOLCE</t>
  </si>
  <si>
    <t>CHOCOLATE CLASSIC</t>
  </si>
  <si>
    <t>CHOCOLATE DOLCE</t>
  </si>
  <si>
    <t>COGNAC CLASSIC</t>
  </si>
  <si>
    <t>HONEY CLASSIC</t>
  </si>
  <si>
    <t>HONEY DOLCE</t>
  </si>
  <si>
    <t>RUM CLASSIC</t>
  </si>
  <si>
    <t>RUM DOLCE</t>
  </si>
  <si>
    <t>CINNAMON CLASSIC</t>
  </si>
  <si>
    <t>CINNAMON DOLCE</t>
  </si>
  <si>
    <t>TROPICAL DOLCE</t>
  </si>
  <si>
    <t>VANILLA CLASSIC</t>
  </si>
  <si>
    <t>VANILLA DOLCE</t>
  </si>
  <si>
    <t>TATUAJE</t>
  </si>
  <si>
    <t>BLACK LABEL PRIVATE RESERVE BRITANICAS EXTRA</t>
  </si>
  <si>
    <t>BLACK LABEL PRIVATE RESERVE TORO</t>
  </si>
  <si>
    <t>LA SELECCION DE CAZADOR GRAN COJONU GERMAN EXCLUSIVE</t>
  </si>
  <si>
    <t>LE AVION 13 TUXTLA DOUBLE PERFECTO</t>
  </si>
  <si>
    <t>NUEVITAS JIBARO NO.2</t>
  </si>
  <si>
    <t>SELECCION DE CAZADOR REGIOS</t>
  </si>
  <si>
    <t>SELECCION DE CAZADOR UNICOS</t>
  </si>
  <si>
    <t>SELECCION DE CAZADOR MIAMI COJONU 2003</t>
  </si>
  <si>
    <t>TOSCANELLO</t>
  </si>
  <si>
    <t>TOSCANO</t>
  </si>
  <si>
    <t>VIAJE</t>
  </si>
  <si>
    <t>VILLIGER</t>
  </si>
  <si>
    <t>ANICE CHEROOT</t>
  </si>
  <si>
    <t>CAFFE CHEROOT</t>
  </si>
  <si>
    <t>GRAPPA CHEROOT</t>
  </si>
  <si>
    <t>NATURAL CHEROOT</t>
  </si>
  <si>
    <t>ANTICO</t>
  </si>
  <si>
    <t>CLASSICO</t>
  </si>
  <si>
    <t>EXTRA VECCHIO</t>
  </si>
  <si>
    <t>EXCLUSIVO LEADED NICARAGUA 2021 LE MADURO CORONA GORDA</t>
  </si>
  <si>
    <t>HONEY &amp; HAND GRENADES 2021 LE MADURO THE RAPIER</t>
  </si>
  <si>
    <t>HONEY &amp; HAND GRENADES 2021 LE MADURO THE SHANK</t>
  </si>
  <si>
    <t>HONEY &amp; HAND GRENADES 2021 LE MADURO THE SHIV</t>
  </si>
  <si>
    <t>HONEY &amp; HAND GRENADES THE FALCHION COROJO PERFECTO</t>
  </si>
  <si>
    <t>HONEY &amp; HAND GRENADES THE FALCHION MADURO PERFECTO</t>
  </si>
  <si>
    <t>EXPORT BRASIL</t>
  </si>
  <si>
    <t>EXPORT MADURO</t>
  </si>
  <si>
    <t>EXPORT SUMATRA</t>
  </si>
  <si>
    <t>HABANA FEU BC PETITE CORONA</t>
  </si>
  <si>
    <t>SELECTO CONNECTICUT TORO</t>
  </si>
  <si>
    <t>WARPED</t>
  </si>
  <si>
    <t>CHINCHALLE ROBUSTO</t>
  </si>
  <si>
    <t>CLOUD HOPPER NO.53</t>
  </si>
  <si>
    <t>COMPANION DE WARPED ROTHSCHILD</t>
  </si>
  <si>
    <t>CORTO X46 CORONA</t>
  </si>
  <si>
    <t>DON REYNALDO 70TH LE BELICOSO</t>
  </si>
  <si>
    <t>EAGLE'S DESCENT TORO ESPECIAL</t>
  </si>
  <si>
    <t>FLOR DEL VALLE CRISTALES</t>
  </si>
  <si>
    <t>FUTURO SELECCION 109 TORO</t>
  </si>
  <si>
    <t>LA COLMENA AMADO NO.44</t>
  </si>
  <si>
    <t>LA HACIENDA FIRST GROWTH</t>
  </si>
  <si>
    <t>SERIE GRAN RESERVA 1988 ROBUSTO</t>
  </si>
  <si>
    <t>THE DEVIL'S HANDS CORONA</t>
  </si>
  <si>
    <t>WHITE OWL</t>
  </si>
  <si>
    <t>UPPER REALM ROBUSTO</t>
  </si>
  <si>
    <t>NEW YORKER</t>
  </si>
  <si>
    <t>PANATELLAS</t>
  </si>
  <si>
    <t>SANJ PATEL</t>
  </si>
  <si>
    <t>INSTANT CLASSIC ROBUSTO</t>
  </si>
  <si>
    <t>SP1014 TORO</t>
  </si>
  <si>
    <t>SP1014 BLACK TORO</t>
  </si>
  <si>
    <t>CRAFTED &amp; CURATED ATHENEE ROBUSTO EXTRA</t>
  </si>
  <si>
    <t>BARBARROJA'S INVASION ROBUSTO</t>
  </si>
  <si>
    <t>YELLOW ROST TORO</t>
  </si>
  <si>
    <t>LA BARBA</t>
  </si>
  <si>
    <t>KNOCKAROUND TORO</t>
  </si>
  <si>
    <t>RED MEAT LOVERS TORO 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</si>
</sst>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3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vertical="top" wrapText="1"/>
    </xf>
    <xf numFmtId="0" fontId="0" fillId="2" borderId="5" xfId="0" applyFill="1" applyBorder="1" applyAlignment="1">
      <alignment vertical="top"/>
    </xf>
    <xf numFmtId="0" fontId="0" fillId="2" borderId="5" xfId="0" applyFill="1" applyBorder="1" applyAlignment="1">
      <alignment vertical="top" wrapText="1"/>
    </xf>
    <xf numFmtId="0" fontId="0" fillId="0" borderId="1" xfId="0" applyBorder="1"/>
    <xf numFmtId="0" fontId="0" fillId="0" borderId="6" xfId="0" applyBorder="1"/>
    <xf numFmtId="164" fontId="0" fillId="0" borderId="0" xfId="0" applyNumberFormat="1"/>
    <xf numFmtId="164" fontId="0" fillId="0" borderId="6" xfId="0" applyNumberFormat="1" applyBorder="1"/>
    <xf numFmtId="164" fontId="0" fillId="0" borderId="1" xfId="0" applyNumberFormat="1" applyBorder="1"/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0" fontId="0" fillId="0" borderId="4" xfId="0" applyBorder="1"/>
    <xf numFmtId="0" fontId="0" fillId="0" borderId="1" xfId="0" applyBorder="1" applyAlignment="1">
      <alignment horizontal="center"/>
    </xf>
    <xf numFmtId="164" fontId="0" fillId="2" borderId="5" xfId="0" applyNumberForma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2" borderId="5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9"/>
  <sheetViews>
    <sheetView tabSelected="1" workbookViewId="0">
      <selection activeCell="B12" sqref="B12"/>
    </sheetView>
  </sheetViews>
  <sheetFormatPr defaultRowHeight="13.2" x14ac:dyDescent="0.25"/>
  <cols>
    <col min="1" max="1" width="36.6640625" style="6" bestFit="1" customWidth="1"/>
    <col min="2" max="2" width="44.77734375" style="6" bestFit="1" customWidth="1"/>
    <col min="3" max="3" width="16.33203125" style="6" bestFit="1" customWidth="1"/>
    <col min="4" max="4" width="15" style="10" bestFit="1" customWidth="1"/>
    <col min="5" max="5" width="22.21875" style="6" customWidth="1"/>
  </cols>
  <sheetData>
    <row r="1" spans="1:7" x14ac:dyDescent="0.25">
      <c r="A1"/>
      <c r="B1"/>
      <c r="C1"/>
      <c r="D1" s="8"/>
      <c r="E1"/>
    </row>
    <row r="2" spans="1:7" ht="21" x14ac:dyDescent="0.4">
      <c r="A2" s="1" t="s">
        <v>10</v>
      </c>
      <c r="B2"/>
      <c r="C2"/>
      <c r="D2" s="8"/>
      <c r="E2"/>
    </row>
    <row r="3" spans="1:7" x14ac:dyDescent="0.25">
      <c r="A3" s="7"/>
      <c r="B3" s="7"/>
      <c r="C3" s="7"/>
      <c r="D3" s="9"/>
      <c r="E3" s="7"/>
    </row>
    <row r="4" spans="1:7" ht="52.8" x14ac:dyDescent="0.25">
      <c r="A4" s="4" t="s">
        <v>0</v>
      </c>
      <c r="B4" s="4" t="s">
        <v>1</v>
      </c>
      <c r="C4" s="5" t="s">
        <v>3</v>
      </c>
      <c r="D4" s="17" t="s">
        <v>9</v>
      </c>
      <c r="E4" s="5" t="s">
        <v>4</v>
      </c>
      <c r="G4" s="5" t="s">
        <v>34</v>
      </c>
    </row>
    <row r="5" spans="1:7" x14ac:dyDescent="0.25">
      <c r="A5" s="6" t="s">
        <v>32</v>
      </c>
      <c r="B5" s="6" t="s">
        <v>33</v>
      </c>
      <c r="C5" s="6">
        <v>50</v>
      </c>
      <c r="D5" s="10">
        <f t="shared" ref="D5:D36" si="0">((C5*G5)/1000)/1000</f>
        <v>1E-3</v>
      </c>
      <c r="E5" s="6">
        <v>152</v>
      </c>
      <c r="G5">
        <v>20</v>
      </c>
    </row>
    <row r="6" spans="1:7" x14ac:dyDescent="0.25">
      <c r="A6" s="6" t="s">
        <v>32</v>
      </c>
      <c r="B6" s="6" t="s">
        <v>35</v>
      </c>
      <c r="C6" s="6">
        <v>50</v>
      </c>
      <c r="D6" s="10">
        <f t="shared" si="0"/>
        <v>1.25E-3</v>
      </c>
      <c r="E6" s="6">
        <v>152</v>
      </c>
      <c r="G6">
        <v>25</v>
      </c>
    </row>
    <row r="7" spans="1:7" x14ac:dyDescent="0.25">
      <c r="A7" s="6" t="s">
        <v>32</v>
      </c>
      <c r="B7" s="6" t="s">
        <v>36</v>
      </c>
      <c r="C7" s="6">
        <v>50</v>
      </c>
      <c r="D7" s="10">
        <f t="shared" si="0"/>
        <v>3.5999999999999999E-3</v>
      </c>
      <c r="E7" s="6">
        <v>152</v>
      </c>
      <c r="G7">
        <v>72</v>
      </c>
    </row>
    <row r="8" spans="1:7" x14ac:dyDescent="0.25">
      <c r="A8" s="6" t="s">
        <v>32</v>
      </c>
      <c r="B8" s="6" t="s">
        <v>37</v>
      </c>
      <c r="C8" s="6">
        <v>50</v>
      </c>
      <c r="D8" s="10">
        <f t="shared" si="0"/>
        <v>1.1000000000000001E-3</v>
      </c>
      <c r="E8" s="6">
        <v>152</v>
      </c>
      <c r="G8">
        <v>22</v>
      </c>
    </row>
    <row r="9" spans="1:7" x14ac:dyDescent="0.25">
      <c r="A9" s="6" t="s">
        <v>32</v>
      </c>
      <c r="B9" s="6" t="s">
        <v>38</v>
      </c>
      <c r="C9" s="6">
        <v>50</v>
      </c>
      <c r="D9" s="10">
        <f t="shared" si="0"/>
        <v>3.0000000000000001E-3</v>
      </c>
      <c r="E9" s="6">
        <v>152</v>
      </c>
      <c r="G9">
        <v>60</v>
      </c>
    </row>
    <row r="10" spans="1:7" x14ac:dyDescent="0.25">
      <c r="A10" s="6" t="s">
        <v>32</v>
      </c>
      <c r="B10" s="6" t="s">
        <v>39</v>
      </c>
      <c r="C10" s="6">
        <v>50</v>
      </c>
      <c r="D10" s="10">
        <f t="shared" si="0"/>
        <v>2.5499999999999997E-3</v>
      </c>
      <c r="E10" s="6">
        <v>152</v>
      </c>
      <c r="G10">
        <v>51</v>
      </c>
    </row>
    <row r="11" spans="1:7" x14ac:dyDescent="0.25">
      <c r="A11" s="6" t="s">
        <v>32</v>
      </c>
      <c r="B11" s="6" t="s">
        <v>40</v>
      </c>
      <c r="C11" s="6">
        <v>50</v>
      </c>
      <c r="D11" s="10">
        <f t="shared" si="0"/>
        <v>4.0999999999999995E-3</v>
      </c>
      <c r="E11" s="6">
        <v>152</v>
      </c>
      <c r="G11">
        <v>82</v>
      </c>
    </row>
    <row r="12" spans="1:7" x14ac:dyDescent="0.25">
      <c r="A12" s="6" t="s">
        <v>41</v>
      </c>
      <c r="B12" s="6" t="s">
        <v>42</v>
      </c>
      <c r="C12" s="6">
        <v>50</v>
      </c>
      <c r="D12" s="10">
        <f t="shared" si="0"/>
        <v>9.5E-4</v>
      </c>
      <c r="E12" s="6">
        <v>160</v>
      </c>
      <c r="G12">
        <v>19</v>
      </c>
    </row>
    <row r="13" spans="1:7" x14ac:dyDescent="0.25">
      <c r="A13" s="6" t="s">
        <v>41</v>
      </c>
      <c r="B13" s="6" t="s">
        <v>43</v>
      </c>
      <c r="C13" s="6">
        <v>50</v>
      </c>
      <c r="D13" s="10">
        <f t="shared" si="0"/>
        <v>1.0500000000000002E-3</v>
      </c>
      <c r="E13" s="6">
        <v>160</v>
      </c>
      <c r="G13">
        <v>21</v>
      </c>
    </row>
    <row r="14" spans="1:7" x14ac:dyDescent="0.25">
      <c r="A14" s="6" t="s">
        <v>41</v>
      </c>
      <c r="B14" s="6" t="s">
        <v>44</v>
      </c>
      <c r="C14" s="6">
        <v>50</v>
      </c>
      <c r="D14" s="10">
        <f t="shared" si="0"/>
        <v>5.0000000000000002E-5</v>
      </c>
      <c r="E14" s="6">
        <v>160</v>
      </c>
      <c r="G14">
        <v>1</v>
      </c>
    </row>
    <row r="15" spans="1:7" x14ac:dyDescent="0.25">
      <c r="A15" s="6" t="s">
        <v>41</v>
      </c>
      <c r="B15" s="6" t="s">
        <v>45</v>
      </c>
      <c r="C15" s="6">
        <v>50</v>
      </c>
      <c r="D15" s="10">
        <f t="shared" si="0"/>
        <v>3.5E-4</v>
      </c>
      <c r="E15" s="6">
        <v>160</v>
      </c>
      <c r="G15">
        <v>7</v>
      </c>
    </row>
    <row r="16" spans="1:7" x14ac:dyDescent="0.25">
      <c r="A16" s="6" t="s">
        <v>41</v>
      </c>
      <c r="B16" s="6" t="s">
        <v>46</v>
      </c>
      <c r="C16" s="6">
        <v>50</v>
      </c>
      <c r="D16" s="10">
        <f t="shared" si="0"/>
        <v>1E-4</v>
      </c>
      <c r="E16" s="6">
        <v>160</v>
      </c>
      <c r="G16">
        <v>2</v>
      </c>
    </row>
    <row r="17" spans="1:7" x14ac:dyDescent="0.25">
      <c r="A17" s="6" t="s">
        <v>41</v>
      </c>
      <c r="B17" s="6" t="s">
        <v>47</v>
      </c>
      <c r="C17" s="6">
        <v>50</v>
      </c>
      <c r="D17" s="10">
        <f t="shared" si="0"/>
        <v>5.0000000000000002E-5</v>
      </c>
      <c r="E17" s="6">
        <v>160</v>
      </c>
      <c r="G17">
        <v>1</v>
      </c>
    </row>
    <row r="18" spans="1:7" x14ac:dyDescent="0.25">
      <c r="A18" s="6" t="s">
        <v>48</v>
      </c>
      <c r="B18" s="6" t="s">
        <v>49</v>
      </c>
      <c r="C18" s="6">
        <v>50</v>
      </c>
      <c r="D18" s="10">
        <f t="shared" si="0"/>
        <v>8.4999999999999995E-4</v>
      </c>
      <c r="E18" s="6">
        <v>152.94999999999999</v>
      </c>
      <c r="G18">
        <v>17</v>
      </c>
    </row>
    <row r="19" spans="1:7" x14ac:dyDescent="0.25">
      <c r="A19" s="6" t="s">
        <v>50</v>
      </c>
      <c r="B19" s="6" t="s">
        <v>51</v>
      </c>
      <c r="C19" s="6">
        <v>30</v>
      </c>
      <c r="D19" s="10">
        <f t="shared" si="0"/>
        <v>2.5800000000000003E-3</v>
      </c>
      <c r="E19" s="6">
        <v>98</v>
      </c>
      <c r="G19">
        <v>86</v>
      </c>
    </row>
    <row r="20" spans="1:7" x14ac:dyDescent="0.25">
      <c r="A20" s="6" t="s">
        <v>50</v>
      </c>
      <c r="B20" s="6" t="s">
        <v>52</v>
      </c>
      <c r="C20" s="6">
        <v>30</v>
      </c>
      <c r="D20" s="10">
        <f t="shared" si="0"/>
        <v>3.81E-3</v>
      </c>
      <c r="E20" s="6">
        <v>98</v>
      </c>
      <c r="G20">
        <v>127</v>
      </c>
    </row>
    <row r="21" spans="1:7" x14ac:dyDescent="0.25">
      <c r="A21" s="6" t="s">
        <v>50</v>
      </c>
      <c r="B21" s="6" t="s">
        <v>53</v>
      </c>
      <c r="C21" s="6">
        <v>30</v>
      </c>
      <c r="D21" s="10">
        <f t="shared" si="0"/>
        <v>4.5899999999999995E-3</v>
      </c>
      <c r="E21" s="6">
        <v>98</v>
      </c>
      <c r="G21">
        <v>153</v>
      </c>
    </row>
    <row r="22" spans="1:7" x14ac:dyDescent="0.25">
      <c r="A22" s="6" t="s">
        <v>50</v>
      </c>
      <c r="B22" s="6" t="s">
        <v>54</v>
      </c>
      <c r="C22" s="6">
        <v>30</v>
      </c>
      <c r="D22" s="10">
        <f t="shared" si="0"/>
        <v>3.7200000000000002E-3</v>
      </c>
      <c r="E22" s="6">
        <v>98</v>
      </c>
      <c r="G22">
        <v>124</v>
      </c>
    </row>
    <row r="23" spans="1:7" x14ac:dyDescent="0.25">
      <c r="A23" s="6" t="s">
        <v>50</v>
      </c>
      <c r="B23" s="6" t="s">
        <v>55</v>
      </c>
      <c r="C23" s="6">
        <v>30</v>
      </c>
      <c r="D23" s="10">
        <f t="shared" si="0"/>
        <v>3.4500000000000004E-3</v>
      </c>
      <c r="E23" s="6">
        <v>98</v>
      </c>
      <c r="G23">
        <v>115</v>
      </c>
    </row>
    <row r="24" spans="1:7" x14ac:dyDescent="0.25">
      <c r="A24" s="6" t="s">
        <v>56</v>
      </c>
      <c r="B24" s="6" t="s">
        <v>57</v>
      </c>
      <c r="C24" s="6">
        <v>50</v>
      </c>
      <c r="D24" s="10">
        <f t="shared" si="0"/>
        <v>2.0000000000000001E-4</v>
      </c>
      <c r="E24" s="6">
        <f>719.8/4</f>
        <v>179.95</v>
      </c>
      <c r="G24">
        <v>4</v>
      </c>
    </row>
    <row r="25" spans="1:7" x14ac:dyDescent="0.25">
      <c r="A25" s="6" t="s">
        <v>56</v>
      </c>
      <c r="B25" s="6" t="s">
        <v>58</v>
      </c>
      <c r="C25" s="6">
        <v>50</v>
      </c>
      <c r="D25" s="10">
        <f t="shared" si="0"/>
        <v>2.0000000000000001E-4</v>
      </c>
      <c r="E25" s="6">
        <f>719.8/4</f>
        <v>179.95</v>
      </c>
      <c r="G25">
        <v>4</v>
      </c>
    </row>
    <row r="26" spans="1:7" x14ac:dyDescent="0.25">
      <c r="A26" s="6" t="s">
        <v>56</v>
      </c>
      <c r="B26" s="6" t="s">
        <v>59</v>
      </c>
      <c r="C26" s="6">
        <v>50</v>
      </c>
      <c r="D26" s="10">
        <f t="shared" si="0"/>
        <v>1.4999999999999999E-4</v>
      </c>
      <c r="E26" s="6">
        <f>719.8/4</f>
        <v>179.95</v>
      </c>
      <c r="G26">
        <v>3</v>
      </c>
    </row>
    <row r="27" spans="1:7" x14ac:dyDescent="0.25">
      <c r="A27" s="6" t="s">
        <v>56</v>
      </c>
      <c r="B27" s="6" t="s">
        <v>60</v>
      </c>
      <c r="C27" s="6">
        <v>50</v>
      </c>
      <c r="D27" s="10">
        <f t="shared" si="0"/>
        <v>2.0000000000000001E-4</v>
      </c>
      <c r="E27" s="6">
        <f>719.8/4</f>
        <v>179.95</v>
      </c>
      <c r="G27">
        <v>4</v>
      </c>
    </row>
    <row r="28" spans="1:7" x14ac:dyDescent="0.25">
      <c r="A28" s="6" t="s">
        <v>56</v>
      </c>
      <c r="B28" s="6" t="s">
        <v>61</v>
      </c>
      <c r="C28" s="6">
        <v>50</v>
      </c>
      <c r="D28" s="10">
        <f t="shared" si="0"/>
        <v>5.0000000000000001E-4</v>
      </c>
      <c r="E28" s="6">
        <v>177.9</v>
      </c>
      <c r="G28">
        <v>10</v>
      </c>
    </row>
    <row r="29" spans="1:7" x14ac:dyDescent="0.25">
      <c r="A29" s="6" t="s">
        <v>56</v>
      </c>
      <c r="B29" s="6" t="s">
        <v>62</v>
      </c>
      <c r="C29" s="6">
        <v>50</v>
      </c>
      <c r="D29" s="10">
        <f t="shared" si="0"/>
        <v>1E-3</v>
      </c>
      <c r="E29" s="6">
        <v>177.9</v>
      </c>
      <c r="G29">
        <v>20</v>
      </c>
    </row>
    <row r="30" spans="1:7" x14ac:dyDescent="0.25">
      <c r="A30" s="6" t="s">
        <v>56</v>
      </c>
      <c r="B30" s="6" t="s">
        <v>63</v>
      </c>
      <c r="C30" s="6">
        <v>50</v>
      </c>
      <c r="D30" s="10">
        <f t="shared" si="0"/>
        <v>3.5E-4</v>
      </c>
      <c r="E30" s="6">
        <v>177.9</v>
      </c>
      <c r="G30">
        <v>7</v>
      </c>
    </row>
    <row r="31" spans="1:7" x14ac:dyDescent="0.25">
      <c r="A31" s="6" t="s">
        <v>56</v>
      </c>
      <c r="B31" s="6" t="s">
        <v>64</v>
      </c>
      <c r="C31" s="6">
        <v>50</v>
      </c>
      <c r="D31" s="10">
        <f t="shared" si="0"/>
        <v>2.9999999999999997E-4</v>
      </c>
      <c r="E31" s="6">
        <v>177.9</v>
      </c>
      <c r="G31">
        <v>6</v>
      </c>
    </row>
    <row r="32" spans="1:7" x14ac:dyDescent="0.25">
      <c r="A32" s="6" t="s">
        <v>65</v>
      </c>
      <c r="B32" s="6" t="s">
        <v>66</v>
      </c>
      <c r="C32" s="6">
        <v>50</v>
      </c>
      <c r="D32" s="10">
        <f t="shared" si="0"/>
        <v>3.5499999999999998E-3</v>
      </c>
      <c r="E32" s="6">
        <v>141</v>
      </c>
      <c r="G32">
        <v>71</v>
      </c>
    </row>
    <row r="33" spans="1:7" x14ac:dyDescent="0.25">
      <c r="A33" s="6" t="s">
        <v>65</v>
      </c>
      <c r="B33" s="6" t="s">
        <v>67</v>
      </c>
      <c r="C33" s="6">
        <v>50</v>
      </c>
      <c r="D33" s="10">
        <f t="shared" si="0"/>
        <v>3.5999999999999999E-3</v>
      </c>
      <c r="E33" s="6">
        <v>141</v>
      </c>
      <c r="G33">
        <v>72</v>
      </c>
    </row>
    <row r="34" spans="1:7" x14ac:dyDescent="0.25">
      <c r="A34" s="6" t="s">
        <v>65</v>
      </c>
      <c r="B34" s="6" t="s">
        <v>68</v>
      </c>
      <c r="C34" s="6">
        <v>50</v>
      </c>
      <c r="D34" s="10">
        <f t="shared" si="0"/>
        <v>3.8999999999999998E-3</v>
      </c>
      <c r="E34" s="6">
        <v>141</v>
      </c>
      <c r="G34">
        <v>78</v>
      </c>
    </row>
    <row r="35" spans="1:7" x14ac:dyDescent="0.25">
      <c r="A35" s="6" t="s">
        <v>65</v>
      </c>
      <c r="B35" s="6" t="s">
        <v>69</v>
      </c>
      <c r="C35" s="6">
        <v>30</v>
      </c>
      <c r="D35" s="10">
        <f t="shared" si="0"/>
        <v>5.9999999999999995E-4</v>
      </c>
      <c r="E35" s="6">
        <v>99.95</v>
      </c>
      <c r="G35">
        <v>20</v>
      </c>
    </row>
    <row r="36" spans="1:7" x14ac:dyDescent="0.25">
      <c r="A36" s="6" t="s">
        <v>65</v>
      </c>
      <c r="B36" s="6" t="s">
        <v>70</v>
      </c>
      <c r="C36" s="6">
        <v>50</v>
      </c>
      <c r="D36" s="10">
        <f t="shared" si="0"/>
        <v>4.2500000000000003E-3</v>
      </c>
      <c r="E36" s="6">
        <v>141</v>
      </c>
      <c r="G36">
        <v>85</v>
      </c>
    </row>
    <row r="37" spans="1:7" x14ac:dyDescent="0.25">
      <c r="A37" s="6" t="s">
        <v>16</v>
      </c>
      <c r="B37" s="6" t="s">
        <v>17</v>
      </c>
      <c r="C37" s="6">
        <v>30</v>
      </c>
      <c r="D37" s="10">
        <f t="shared" ref="D37:D68" si="1">((C37*G37)/1000)/1000</f>
        <v>2.9999999999999997E-5</v>
      </c>
      <c r="E37" s="6">
        <v>89.95</v>
      </c>
      <c r="G37">
        <v>1</v>
      </c>
    </row>
    <row r="38" spans="1:7" x14ac:dyDescent="0.25">
      <c r="A38" s="6" t="s">
        <v>16</v>
      </c>
      <c r="B38" s="6" t="s">
        <v>71</v>
      </c>
      <c r="C38" s="6">
        <v>30</v>
      </c>
      <c r="D38" s="10">
        <f t="shared" si="1"/>
        <v>5.9999999999999995E-5</v>
      </c>
      <c r="E38" s="6">
        <v>164.95</v>
      </c>
      <c r="G38">
        <v>2</v>
      </c>
    </row>
    <row r="39" spans="1:7" x14ac:dyDescent="0.25">
      <c r="A39" s="6" t="s">
        <v>16</v>
      </c>
      <c r="B39" s="6" t="s">
        <v>72</v>
      </c>
      <c r="C39" s="6">
        <v>50</v>
      </c>
      <c r="D39" s="10">
        <f t="shared" si="1"/>
        <v>5.0000000000000002E-5</v>
      </c>
      <c r="E39" s="6">
        <v>164.95</v>
      </c>
      <c r="G39">
        <v>1</v>
      </c>
    </row>
    <row r="40" spans="1:7" x14ac:dyDescent="0.25">
      <c r="A40" s="6" t="s">
        <v>16</v>
      </c>
      <c r="B40" s="6" t="s">
        <v>17</v>
      </c>
      <c r="C40" s="6">
        <v>30</v>
      </c>
      <c r="D40" s="10">
        <f t="shared" si="1"/>
        <v>1.7999999999999998E-4</v>
      </c>
      <c r="E40" s="6">
        <v>96</v>
      </c>
      <c r="G40">
        <v>6</v>
      </c>
    </row>
    <row r="41" spans="1:7" x14ac:dyDescent="0.25">
      <c r="A41" s="6" t="s">
        <v>73</v>
      </c>
      <c r="B41" s="6" t="s">
        <v>74</v>
      </c>
      <c r="C41" s="6">
        <v>50</v>
      </c>
      <c r="D41" s="10">
        <f t="shared" si="1"/>
        <v>4.0000000000000002E-4</v>
      </c>
      <c r="E41" s="6">
        <f>1279.6/8</f>
        <v>159.94999999999999</v>
      </c>
      <c r="G41">
        <v>8</v>
      </c>
    </row>
    <row r="42" spans="1:7" x14ac:dyDescent="0.25">
      <c r="A42" s="6" t="s">
        <v>73</v>
      </c>
      <c r="B42" s="6" t="s">
        <v>75</v>
      </c>
      <c r="C42" s="6">
        <v>50</v>
      </c>
      <c r="D42" s="10">
        <f t="shared" si="1"/>
        <v>4.4999999999999999E-4</v>
      </c>
      <c r="E42" s="6">
        <v>165</v>
      </c>
      <c r="G42">
        <v>9</v>
      </c>
    </row>
    <row r="43" spans="1:7" x14ac:dyDescent="0.25">
      <c r="A43" s="6" t="s">
        <v>73</v>
      </c>
      <c r="B43" s="6" t="s">
        <v>76</v>
      </c>
      <c r="C43" s="6">
        <v>50</v>
      </c>
      <c r="D43" s="10">
        <f t="shared" si="1"/>
        <v>7.5000000000000002E-4</v>
      </c>
      <c r="E43" s="6">
        <v>165</v>
      </c>
      <c r="G43">
        <v>15</v>
      </c>
    </row>
    <row r="44" spans="1:7" x14ac:dyDescent="0.25">
      <c r="A44" s="6" t="s">
        <v>18</v>
      </c>
      <c r="B44" s="6" t="s">
        <v>19</v>
      </c>
      <c r="C44" s="6">
        <v>30</v>
      </c>
      <c r="D44" s="10">
        <f t="shared" si="1"/>
        <v>1.0500000000000002E-3</v>
      </c>
      <c r="E44" s="6">
        <v>89.95</v>
      </c>
      <c r="G44">
        <v>35</v>
      </c>
    </row>
    <row r="45" spans="1:7" x14ac:dyDescent="0.25">
      <c r="A45" s="6" t="s">
        <v>18</v>
      </c>
      <c r="B45" s="6" t="s">
        <v>20</v>
      </c>
      <c r="C45" s="6">
        <v>30</v>
      </c>
      <c r="D45" s="10">
        <f t="shared" si="1"/>
        <v>2.3999999999999998E-4</v>
      </c>
      <c r="E45" s="6">
        <v>89.95</v>
      </c>
      <c r="G45">
        <v>8</v>
      </c>
    </row>
    <row r="46" spans="1:7" x14ac:dyDescent="0.25">
      <c r="A46" s="6" t="s">
        <v>18</v>
      </c>
      <c r="B46" s="6" t="s">
        <v>77</v>
      </c>
      <c r="C46" s="6">
        <v>50</v>
      </c>
      <c r="D46" s="10">
        <f t="shared" si="1"/>
        <v>2.5000000000000001E-4</v>
      </c>
      <c r="E46" s="6">
        <f>799.75/5</f>
        <v>159.94999999999999</v>
      </c>
      <c r="G46">
        <v>5</v>
      </c>
    </row>
    <row r="47" spans="1:7" x14ac:dyDescent="0.25">
      <c r="A47" s="6" t="s">
        <v>18</v>
      </c>
      <c r="B47" s="6" t="s">
        <v>78</v>
      </c>
      <c r="C47" s="6">
        <v>50</v>
      </c>
      <c r="D47" s="10">
        <f t="shared" si="1"/>
        <v>1E-4</v>
      </c>
      <c r="E47" s="6">
        <f>319.9/G47</f>
        <v>159.94999999999999</v>
      </c>
      <c r="G47">
        <v>2</v>
      </c>
    </row>
    <row r="48" spans="1:7" x14ac:dyDescent="0.25">
      <c r="A48" s="6" t="s">
        <v>18</v>
      </c>
      <c r="B48" s="6" t="s">
        <v>79</v>
      </c>
      <c r="C48" s="6">
        <v>30</v>
      </c>
      <c r="D48" s="10">
        <f t="shared" si="1"/>
        <v>2.3400000000000001E-3</v>
      </c>
      <c r="E48" s="6">
        <v>94</v>
      </c>
      <c r="G48">
        <v>78</v>
      </c>
    </row>
    <row r="49" spans="1:7" x14ac:dyDescent="0.25">
      <c r="A49" s="6" t="s">
        <v>18</v>
      </c>
      <c r="B49" s="6" t="s">
        <v>80</v>
      </c>
      <c r="C49" s="6">
        <v>50</v>
      </c>
      <c r="D49" s="10">
        <f t="shared" si="1"/>
        <v>1E-4</v>
      </c>
      <c r="E49" s="6">
        <f>319.9/G49</f>
        <v>159.94999999999999</v>
      </c>
      <c r="G49">
        <v>2</v>
      </c>
    </row>
    <row r="50" spans="1:7" x14ac:dyDescent="0.25">
      <c r="A50" s="6" t="s">
        <v>18</v>
      </c>
      <c r="B50" s="6" t="s">
        <v>81</v>
      </c>
      <c r="C50" s="6">
        <v>50</v>
      </c>
      <c r="D50" s="10">
        <f t="shared" si="1"/>
        <v>1E-4</v>
      </c>
      <c r="E50" s="6">
        <f>319.9/G50</f>
        <v>159.94999999999999</v>
      </c>
      <c r="G50">
        <v>2</v>
      </c>
    </row>
    <row r="51" spans="1:7" x14ac:dyDescent="0.25">
      <c r="A51" s="6" t="s">
        <v>18</v>
      </c>
      <c r="B51" s="6" t="s">
        <v>82</v>
      </c>
      <c r="C51" s="6">
        <v>30</v>
      </c>
      <c r="D51" s="10">
        <f t="shared" si="1"/>
        <v>2.0999999999999998E-4</v>
      </c>
      <c r="E51" s="6">
        <v>94</v>
      </c>
      <c r="G51">
        <v>7</v>
      </c>
    </row>
    <row r="52" spans="1:7" x14ac:dyDescent="0.25">
      <c r="A52" s="6" t="s">
        <v>18</v>
      </c>
      <c r="B52" s="6" t="s">
        <v>83</v>
      </c>
      <c r="C52" s="6">
        <v>50</v>
      </c>
      <c r="D52" s="10">
        <f t="shared" si="1"/>
        <v>5.0000000000000002E-5</v>
      </c>
      <c r="E52" s="6">
        <v>159.94999999999999</v>
      </c>
      <c r="G52">
        <v>1</v>
      </c>
    </row>
    <row r="53" spans="1:7" x14ac:dyDescent="0.25">
      <c r="A53" s="6" t="s">
        <v>18</v>
      </c>
      <c r="B53" s="6" t="s">
        <v>84</v>
      </c>
      <c r="C53" s="6">
        <v>30</v>
      </c>
      <c r="D53" s="10">
        <f t="shared" si="1"/>
        <v>2.0999999999999998E-4</v>
      </c>
      <c r="E53" s="6">
        <v>94</v>
      </c>
      <c r="G53">
        <v>7</v>
      </c>
    </row>
    <row r="54" spans="1:7" x14ac:dyDescent="0.25">
      <c r="A54" s="6" t="s">
        <v>18</v>
      </c>
      <c r="B54" s="6" t="s">
        <v>85</v>
      </c>
      <c r="C54" s="6">
        <v>50</v>
      </c>
      <c r="D54" s="10">
        <f t="shared" si="1"/>
        <v>3.5E-4</v>
      </c>
      <c r="E54" s="6">
        <v>159.94999999999999</v>
      </c>
      <c r="G54">
        <v>7</v>
      </c>
    </row>
    <row r="55" spans="1:7" x14ac:dyDescent="0.25">
      <c r="A55" s="6" t="s">
        <v>18</v>
      </c>
      <c r="B55" s="6" t="s">
        <v>86</v>
      </c>
      <c r="C55" s="6">
        <v>50</v>
      </c>
      <c r="D55" s="10">
        <f t="shared" si="1"/>
        <v>5.0000000000000002E-5</v>
      </c>
      <c r="E55" s="6">
        <v>159.94999999999999</v>
      </c>
      <c r="G55">
        <v>1</v>
      </c>
    </row>
    <row r="56" spans="1:7" x14ac:dyDescent="0.25">
      <c r="A56" s="6" t="s">
        <v>87</v>
      </c>
      <c r="B56" s="6" t="s">
        <v>89</v>
      </c>
      <c r="C56" s="6">
        <v>50</v>
      </c>
      <c r="D56" s="10">
        <f t="shared" si="1"/>
        <v>1.8500000000000001E-3</v>
      </c>
      <c r="E56" s="6">
        <v>162</v>
      </c>
      <c r="G56">
        <v>37</v>
      </c>
    </row>
    <row r="57" spans="1:7" x14ac:dyDescent="0.25">
      <c r="A57" s="6" t="s">
        <v>88</v>
      </c>
      <c r="B57" s="6" t="s">
        <v>90</v>
      </c>
      <c r="C57" s="6">
        <v>50</v>
      </c>
      <c r="D57" s="10">
        <f t="shared" si="1"/>
        <v>2.0000000000000001E-4</v>
      </c>
      <c r="E57" s="6">
        <v>152.5</v>
      </c>
      <c r="G57">
        <v>4</v>
      </c>
    </row>
    <row r="58" spans="1:7" x14ac:dyDescent="0.25">
      <c r="A58" s="6" t="s">
        <v>88</v>
      </c>
      <c r="B58" s="6" t="s">
        <v>91</v>
      </c>
      <c r="C58" s="6">
        <v>50</v>
      </c>
      <c r="D58" s="10">
        <f t="shared" si="1"/>
        <v>6.4999999999999997E-4</v>
      </c>
      <c r="E58" s="6">
        <v>160</v>
      </c>
      <c r="G58">
        <v>13</v>
      </c>
    </row>
    <row r="59" spans="1:7" x14ac:dyDescent="0.25">
      <c r="A59" s="6" t="s">
        <v>88</v>
      </c>
      <c r="B59" s="6" t="s">
        <v>92</v>
      </c>
      <c r="C59" s="6">
        <v>50</v>
      </c>
      <c r="D59" s="10">
        <f t="shared" si="1"/>
        <v>4.4999999999999999E-4</v>
      </c>
      <c r="E59" s="6">
        <v>160</v>
      </c>
      <c r="G59">
        <v>9</v>
      </c>
    </row>
    <row r="60" spans="1:7" x14ac:dyDescent="0.25">
      <c r="A60" s="6" t="s">
        <v>88</v>
      </c>
      <c r="B60" s="6" t="s">
        <v>93</v>
      </c>
      <c r="C60" s="6">
        <v>50</v>
      </c>
      <c r="D60" s="10">
        <f t="shared" si="1"/>
        <v>1E-4</v>
      </c>
      <c r="E60" s="6">
        <v>152.5</v>
      </c>
      <c r="G60">
        <v>2</v>
      </c>
    </row>
    <row r="61" spans="1:7" x14ac:dyDescent="0.25">
      <c r="A61" s="6" t="s">
        <v>88</v>
      </c>
      <c r="B61" s="6" t="s">
        <v>94</v>
      </c>
      <c r="C61" s="6">
        <v>50</v>
      </c>
      <c r="D61" s="10">
        <f t="shared" si="1"/>
        <v>3.5E-4</v>
      </c>
      <c r="E61" s="6">
        <v>152.5</v>
      </c>
      <c r="G61">
        <v>7</v>
      </c>
    </row>
    <row r="62" spans="1:7" x14ac:dyDescent="0.25">
      <c r="A62" s="6" t="s">
        <v>88</v>
      </c>
      <c r="B62" s="6" t="s">
        <v>95</v>
      </c>
      <c r="C62" s="6">
        <v>50</v>
      </c>
      <c r="D62" s="10">
        <f t="shared" si="1"/>
        <v>5.5000000000000003E-4</v>
      </c>
      <c r="E62" s="6">
        <v>160</v>
      </c>
      <c r="G62">
        <v>11</v>
      </c>
    </row>
    <row r="63" spans="1:7" x14ac:dyDescent="0.25">
      <c r="A63" s="6" t="s">
        <v>88</v>
      </c>
      <c r="B63" s="6" t="s">
        <v>96</v>
      </c>
      <c r="C63" s="6">
        <v>50</v>
      </c>
      <c r="D63" s="10">
        <f t="shared" si="1"/>
        <v>4.4999999999999999E-4</v>
      </c>
      <c r="E63" s="6">
        <v>160</v>
      </c>
      <c r="G63">
        <v>9</v>
      </c>
    </row>
    <row r="64" spans="1:7" x14ac:dyDescent="0.25">
      <c r="A64" s="6" t="s">
        <v>97</v>
      </c>
      <c r="B64" s="6" t="s">
        <v>98</v>
      </c>
      <c r="C64" s="6">
        <v>30</v>
      </c>
      <c r="D64" s="10">
        <f t="shared" si="1"/>
        <v>4.4999999999999999E-4</v>
      </c>
      <c r="E64" s="6">
        <v>88</v>
      </c>
      <c r="G64">
        <v>15</v>
      </c>
    </row>
    <row r="65" spans="1:7" x14ac:dyDescent="0.25">
      <c r="A65" s="6" t="s">
        <v>97</v>
      </c>
      <c r="B65" s="6" t="s">
        <v>99</v>
      </c>
      <c r="C65" s="6">
        <v>30</v>
      </c>
      <c r="D65" s="10">
        <f t="shared" si="1"/>
        <v>1.32E-3</v>
      </c>
      <c r="E65" s="6">
        <v>88</v>
      </c>
      <c r="G65">
        <v>44</v>
      </c>
    </row>
    <row r="66" spans="1:7" x14ac:dyDescent="0.25">
      <c r="A66" s="6" t="s">
        <v>13</v>
      </c>
      <c r="B66" s="6" t="s">
        <v>14</v>
      </c>
      <c r="C66" s="6">
        <v>50</v>
      </c>
      <c r="D66" s="10">
        <f t="shared" si="1"/>
        <v>1.3699999999999999E-2</v>
      </c>
      <c r="E66" s="6">
        <v>158</v>
      </c>
      <c r="G66">
        <v>274</v>
      </c>
    </row>
    <row r="67" spans="1:7" x14ac:dyDescent="0.25">
      <c r="A67" s="6" t="s">
        <v>13</v>
      </c>
      <c r="B67" s="6" t="s">
        <v>15</v>
      </c>
      <c r="C67" s="6">
        <v>50</v>
      </c>
      <c r="D67" s="10">
        <f t="shared" si="1"/>
        <v>1.025E-2</v>
      </c>
      <c r="E67" s="6">
        <v>158</v>
      </c>
      <c r="G67">
        <v>205</v>
      </c>
    </row>
    <row r="68" spans="1:7" x14ac:dyDescent="0.25">
      <c r="A68" s="6" t="s">
        <v>21</v>
      </c>
      <c r="B68" s="6" t="s">
        <v>22</v>
      </c>
      <c r="C68" s="6">
        <v>30</v>
      </c>
      <c r="D68" s="10">
        <f t="shared" si="1"/>
        <v>4.1999999999999996E-4</v>
      </c>
      <c r="E68" s="6">
        <v>89.95</v>
      </c>
      <c r="G68">
        <v>14</v>
      </c>
    </row>
    <row r="69" spans="1:7" x14ac:dyDescent="0.25">
      <c r="A69" s="6" t="s">
        <v>21</v>
      </c>
      <c r="B69" s="6" t="s">
        <v>23</v>
      </c>
      <c r="C69" s="6">
        <v>30</v>
      </c>
      <c r="D69" s="10">
        <f t="shared" ref="D69:D100" si="2">((C69*G69)/1000)/1000</f>
        <v>5.4000000000000001E-4</v>
      </c>
      <c r="E69" s="6">
        <v>89.95</v>
      </c>
      <c r="G69">
        <v>18</v>
      </c>
    </row>
    <row r="70" spans="1:7" x14ac:dyDescent="0.25">
      <c r="A70" s="6" t="s">
        <v>21</v>
      </c>
      <c r="B70" s="6" t="s">
        <v>100</v>
      </c>
      <c r="C70" s="6">
        <v>50</v>
      </c>
      <c r="D70" s="10">
        <f t="shared" si="2"/>
        <v>2.9999999999999997E-4</v>
      </c>
      <c r="E70" s="6">
        <v>165.95</v>
      </c>
      <c r="G70">
        <v>6</v>
      </c>
    </row>
    <row r="71" spans="1:7" x14ac:dyDescent="0.25">
      <c r="A71" s="6" t="s">
        <v>21</v>
      </c>
      <c r="B71" s="6" t="s">
        <v>22</v>
      </c>
      <c r="C71" s="6">
        <v>50</v>
      </c>
      <c r="D71" s="10">
        <f t="shared" si="2"/>
        <v>1E-4</v>
      </c>
      <c r="E71" s="6">
        <v>165.95</v>
      </c>
      <c r="G71">
        <v>2</v>
      </c>
    </row>
    <row r="72" spans="1:7" x14ac:dyDescent="0.25">
      <c r="A72" s="6" t="s">
        <v>21</v>
      </c>
      <c r="B72" s="6" t="s">
        <v>101</v>
      </c>
      <c r="C72" s="6">
        <v>50</v>
      </c>
      <c r="D72" s="10">
        <f t="shared" si="2"/>
        <v>1E-4</v>
      </c>
      <c r="E72" s="6">
        <f>319.9/2</f>
        <v>159.94999999999999</v>
      </c>
      <c r="G72">
        <v>2</v>
      </c>
    </row>
    <row r="73" spans="1:7" x14ac:dyDescent="0.25">
      <c r="A73" s="6" t="s">
        <v>21</v>
      </c>
      <c r="B73" s="6" t="s">
        <v>102</v>
      </c>
      <c r="C73" s="6">
        <v>50</v>
      </c>
      <c r="D73" s="10">
        <f t="shared" si="2"/>
        <v>4.0000000000000002E-4</v>
      </c>
      <c r="E73" s="6">
        <v>161.5</v>
      </c>
      <c r="G73">
        <v>8</v>
      </c>
    </row>
    <row r="74" spans="1:7" x14ac:dyDescent="0.25">
      <c r="A74" s="6" t="s">
        <v>21</v>
      </c>
      <c r="B74" s="6" t="s">
        <v>103</v>
      </c>
      <c r="C74" s="6">
        <v>30</v>
      </c>
      <c r="D74" s="10">
        <f t="shared" si="2"/>
        <v>7.7999999999999999E-4</v>
      </c>
      <c r="E74" s="6">
        <f>2598.7/26</f>
        <v>99.949999999999989</v>
      </c>
      <c r="G74">
        <v>26</v>
      </c>
    </row>
    <row r="75" spans="1:7" x14ac:dyDescent="0.25">
      <c r="A75" s="6" t="s">
        <v>21</v>
      </c>
      <c r="B75" s="6" t="s">
        <v>104</v>
      </c>
      <c r="C75" s="6">
        <v>50</v>
      </c>
      <c r="D75" s="10">
        <f t="shared" si="2"/>
        <v>1.1999999999999999E-3</v>
      </c>
      <c r="E75" s="6">
        <v>160.5</v>
      </c>
      <c r="G75">
        <v>24</v>
      </c>
    </row>
    <row r="76" spans="1:7" x14ac:dyDescent="0.25">
      <c r="A76" s="6" t="s">
        <v>21</v>
      </c>
      <c r="B76" s="6" t="s">
        <v>105</v>
      </c>
      <c r="C76" s="6">
        <v>50</v>
      </c>
      <c r="D76" s="10">
        <f t="shared" si="2"/>
        <v>1.15E-3</v>
      </c>
      <c r="E76" s="6">
        <v>160.5</v>
      </c>
      <c r="G76">
        <v>23</v>
      </c>
    </row>
    <row r="77" spans="1:7" x14ac:dyDescent="0.25">
      <c r="A77" s="6" t="s">
        <v>21</v>
      </c>
      <c r="B77" s="6" t="s">
        <v>106</v>
      </c>
      <c r="C77" s="6">
        <v>50</v>
      </c>
      <c r="D77" s="10">
        <f t="shared" si="2"/>
        <v>1.4999999999999999E-4</v>
      </c>
      <c r="E77" s="6">
        <v>161.5</v>
      </c>
      <c r="G77">
        <v>3</v>
      </c>
    </row>
    <row r="78" spans="1:7" x14ac:dyDescent="0.25">
      <c r="A78" s="6" t="s">
        <v>24</v>
      </c>
      <c r="B78" s="6" t="s">
        <v>27</v>
      </c>
      <c r="C78" s="6">
        <v>50</v>
      </c>
      <c r="D78" s="10">
        <f t="shared" si="2"/>
        <v>4.4999999999999999E-4</v>
      </c>
      <c r="E78" s="6">
        <v>139.94999999999999</v>
      </c>
      <c r="G78">
        <v>9</v>
      </c>
    </row>
    <row r="79" spans="1:7" x14ac:dyDescent="0.25">
      <c r="A79" s="6" t="s">
        <v>24</v>
      </c>
      <c r="B79" s="6" t="s">
        <v>28</v>
      </c>
      <c r="C79" s="6">
        <v>50</v>
      </c>
      <c r="D79" s="10">
        <f t="shared" si="2"/>
        <v>5.0000000000000001E-4</v>
      </c>
      <c r="E79" s="6">
        <v>139.94999999999999</v>
      </c>
      <c r="G79">
        <v>10</v>
      </c>
    </row>
    <row r="80" spans="1:7" x14ac:dyDescent="0.25">
      <c r="A80" s="6" t="s">
        <v>24</v>
      </c>
      <c r="B80" s="6" t="s">
        <v>107</v>
      </c>
      <c r="C80" s="6">
        <v>50</v>
      </c>
      <c r="D80" s="10">
        <f t="shared" si="2"/>
        <v>5.0000000000000001E-4</v>
      </c>
      <c r="E80" s="6">
        <v>144.94999999999999</v>
      </c>
      <c r="G80">
        <v>10</v>
      </c>
    </row>
    <row r="81" spans="1:7" x14ac:dyDescent="0.25">
      <c r="A81" s="6" t="s">
        <v>24</v>
      </c>
      <c r="B81" s="6" t="s">
        <v>108</v>
      </c>
      <c r="C81" s="6">
        <v>50</v>
      </c>
      <c r="D81" s="10">
        <f t="shared" si="2"/>
        <v>5.0000000000000001E-4</v>
      </c>
      <c r="E81" s="6">
        <v>144.94999999999999</v>
      </c>
      <c r="G81">
        <v>10</v>
      </c>
    </row>
    <row r="82" spans="1:7" x14ac:dyDescent="0.25">
      <c r="A82" s="6" t="s">
        <v>109</v>
      </c>
      <c r="B82" s="6" t="s">
        <v>110</v>
      </c>
      <c r="C82" s="6">
        <v>50</v>
      </c>
      <c r="D82" s="10">
        <f t="shared" si="2"/>
        <v>5.8499999999999993E-3</v>
      </c>
      <c r="E82" s="6">
        <v>142</v>
      </c>
      <c r="G82">
        <v>117</v>
      </c>
    </row>
    <row r="83" spans="1:7" x14ac:dyDescent="0.25">
      <c r="A83" s="6" t="s">
        <v>109</v>
      </c>
      <c r="B83" s="6" t="s">
        <v>111</v>
      </c>
      <c r="C83" s="6">
        <v>50</v>
      </c>
      <c r="D83" s="10">
        <f t="shared" si="2"/>
        <v>5.2500000000000003E-3</v>
      </c>
      <c r="E83" s="6">
        <v>142</v>
      </c>
      <c r="G83">
        <v>105</v>
      </c>
    </row>
    <row r="84" spans="1:7" x14ac:dyDescent="0.25">
      <c r="A84" s="6" t="s">
        <v>109</v>
      </c>
      <c r="B84" s="6" t="s">
        <v>112</v>
      </c>
      <c r="C84" s="6">
        <v>50</v>
      </c>
      <c r="D84" s="10">
        <f t="shared" si="2"/>
        <v>4.7499999999999999E-3</v>
      </c>
      <c r="E84" s="6">
        <v>142</v>
      </c>
      <c r="G84">
        <v>95</v>
      </c>
    </row>
    <row r="85" spans="1:7" x14ac:dyDescent="0.25">
      <c r="A85" s="6" t="s">
        <v>109</v>
      </c>
      <c r="B85" s="6" t="s">
        <v>113</v>
      </c>
      <c r="C85" s="6">
        <v>50</v>
      </c>
      <c r="D85" s="10">
        <f t="shared" si="2"/>
        <v>2.0499999999999997E-3</v>
      </c>
      <c r="E85" s="6">
        <v>142</v>
      </c>
      <c r="G85">
        <v>41</v>
      </c>
    </row>
    <row r="86" spans="1:7" x14ac:dyDescent="0.25">
      <c r="A86" s="6" t="s">
        <v>109</v>
      </c>
      <c r="B86" s="6" t="s">
        <v>114</v>
      </c>
      <c r="C86" s="6">
        <v>30</v>
      </c>
      <c r="D86" s="10">
        <f t="shared" si="2"/>
        <v>5.4000000000000001E-4</v>
      </c>
      <c r="E86" s="6">
        <v>90</v>
      </c>
      <c r="G86">
        <v>18</v>
      </c>
    </row>
    <row r="87" spans="1:7" x14ac:dyDescent="0.25">
      <c r="A87" s="6" t="s">
        <v>109</v>
      </c>
      <c r="B87" s="6" t="s">
        <v>115</v>
      </c>
      <c r="C87" s="6">
        <v>50</v>
      </c>
      <c r="D87" s="10">
        <f t="shared" si="2"/>
        <v>2.5999999999999999E-3</v>
      </c>
      <c r="E87" s="6">
        <v>142</v>
      </c>
      <c r="G87">
        <v>52</v>
      </c>
    </row>
    <row r="88" spans="1:7" x14ac:dyDescent="0.25">
      <c r="A88" s="6" t="s">
        <v>109</v>
      </c>
      <c r="B88" s="6" t="s">
        <v>116</v>
      </c>
      <c r="C88" s="6">
        <v>50</v>
      </c>
      <c r="D88" s="10">
        <f t="shared" si="2"/>
        <v>3.0499999999999998E-3</v>
      </c>
      <c r="E88" s="6">
        <v>142</v>
      </c>
      <c r="G88">
        <v>61</v>
      </c>
    </row>
    <row r="89" spans="1:7" x14ac:dyDescent="0.25">
      <c r="A89" s="6" t="s">
        <v>117</v>
      </c>
      <c r="B89" s="6" t="s">
        <v>118</v>
      </c>
      <c r="C89" s="6">
        <v>50</v>
      </c>
      <c r="D89" s="10">
        <f t="shared" si="2"/>
        <v>5.0000000000000001E-4</v>
      </c>
      <c r="E89" s="6">
        <v>172</v>
      </c>
      <c r="G89">
        <v>10</v>
      </c>
    </row>
    <row r="90" spans="1:7" x14ac:dyDescent="0.25">
      <c r="A90" s="6" t="s">
        <v>25</v>
      </c>
      <c r="B90" s="6" t="s">
        <v>26</v>
      </c>
      <c r="C90" s="6">
        <v>50</v>
      </c>
      <c r="D90" s="10">
        <f t="shared" si="2"/>
        <v>5.0000000000000002E-5</v>
      </c>
      <c r="E90" s="6">
        <v>149.94999999999999</v>
      </c>
      <c r="G90">
        <v>1</v>
      </c>
    </row>
    <row r="91" spans="1:7" x14ac:dyDescent="0.25">
      <c r="A91" s="6" t="s">
        <v>25</v>
      </c>
      <c r="B91" s="6" t="s">
        <v>119</v>
      </c>
      <c r="C91" s="6">
        <v>50</v>
      </c>
      <c r="D91" s="10">
        <f t="shared" si="2"/>
        <v>5.0000000000000002E-5</v>
      </c>
      <c r="E91" s="6">
        <v>179.5</v>
      </c>
      <c r="G91">
        <v>1</v>
      </c>
    </row>
    <row r="92" spans="1:7" x14ac:dyDescent="0.25">
      <c r="A92" s="6" t="s">
        <v>25</v>
      </c>
      <c r="B92" s="6" t="s">
        <v>120</v>
      </c>
      <c r="C92" s="6">
        <v>50</v>
      </c>
      <c r="D92" s="10">
        <f t="shared" si="2"/>
        <v>2.0000000000000001E-4</v>
      </c>
      <c r="E92" s="6">
        <v>164</v>
      </c>
      <c r="G92">
        <v>4</v>
      </c>
    </row>
    <row r="93" spans="1:7" x14ac:dyDescent="0.25">
      <c r="A93" s="6" t="s">
        <v>25</v>
      </c>
      <c r="B93" s="6" t="s">
        <v>121</v>
      </c>
      <c r="C93" s="6">
        <v>50</v>
      </c>
      <c r="D93" s="10">
        <f t="shared" si="2"/>
        <v>2.9999999999999997E-4</v>
      </c>
      <c r="E93" s="6">
        <v>164</v>
      </c>
      <c r="G93">
        <v>6</v>
      </c>
    </row>
    <row r="94" spans="1:7" x14ac:dyDescent="0.25">
      <c r="A94" s="6" t="s">
        <v>25</v>
      </c>
      <c r="B94" s="6" t="s">
        <v>122</v>
      </c>
      <c r="C94" s="6">
        <v>50</v>
      </c>
      <c r="D94" s="10">
        <f t="shared" si="2"/>
        <v>2.5499999999999997E-3</v>
      </c>
      <c r="E94" s="6">
        <v>151.5</v>
      </c>
      <c r="G94">
        <v>51</v>
      </c>
    </row>
    <row r="95" spans="1:7" x14ac:dyDescent="0.25">
      <c r="A95" s="6" t="s">
        <v>25</v>
      </c>
      <c r="B95" s="6" t="s">
        <v>96</v>
      </c>
      <c r="C95" s="6">
        <v>50</v>
      </c>
      <c r="D95" s="10">
        <f t="shared" si="2"/>
        <v>2.5000000000000001E-3</v>
      </c>
      <c r="E95" s="6">
        <v>146</v>
      </c>
      <c r="G95">
        <v>50</v>
      </c>
    </row>
    <row r="96" spans="1:7" x14ac:dyDescent="0.25">
      <c r="A96" s="6" t="s">
        <v>25</v>
      </c>
      <c r="B96" s="6" t="s">
        <v>123</v>
      </c>
      <c r="C96" s="6">
        <v>50</v>
      </c>
      <c r="D96" s="10">
        <f t="shared" si="2"/>
        <v>1E-4</v>
      </c>
      <c r="E96" s="6">
        <f>359.9/2</f>
        <v>179.95</v>
      </c>
      <c r="G96">
        <v>2</v>
      </c>
    </row>
    <row r="97" spans="1:7" x14ac:dyDescent="0.25">
      <c r="A97" s="6" t="s">
        <v>25</v>
      </c>
      <c r="B97" s="6" t="s">
        <v>124</v>
      </c>
      <c r="C97" s="6">
        <v>50</v>
      </c>
      <c r="D97" s="10">
        <f t="shared" si="2"/>
        <v>2.9999999999999997E-4</v>
      </c>
      <c r="E97" s="6">
        <v>147.5</v>
      </c>
      <c r="G97">
        <v>6</v>
      </c>
    </row>
    <row r="98" spans="1:7" x14ac:dyDescent="0.25">
      <c r="A98" s="6" t="s">
        <v>25</v>
      </c>
      <c r="B98" s="6" t="s">
        <v>125</v>
      </c>
      <c r="C98" s="6">
        <v>50</v>
      </c>
      <c r="D98" s="10">
        <f t="shared" si="2"/>
        <v>2.0000000000000001E-4</v>
      </c>
      <c r="E98" s="6">
        <v>156</v>
      </c>
      <c r="G98">
        <v>4</v>
      </c>
    </row>
    <row r="99" spans="1:7" x14ac:dyDescent="0.25">
      <c r="A99" s="6" t="s">
        <v>25</v>
      </c>
      <c r="B99" s="6" t="s">
        <v>126</v>
      </c>
      <c r="C99" s="6">
        <v>50</v>
      </c>
      <c r="D99" s="10">
        <f t="shared" si="2"/>
        <v>1.9E-3</v>
      </c>
      <c r="E99" s="6">
        <v>147.5</v>
      </c>
      <c r="G99">
        <v>38</v>
      </c>
    </row>
    <row r="100" spans="1:7" x14ac:dyDescent="0.25">
      <c r="A100" s="6" t="s">
        <v>25</v>
      </c>
      <c r="B100" s="6" t="s">
        <v>127</v>
      </c>
      <c r="C100" s="6">
        <v>50</v>
      </c>
      <c r="D100" s="10">
        <f t="shared" si="2"/>
        <v>1.25E-3</v>
      </c>
      <c r="E100" s="6">
        <v>144</v>
      </c>
      <c r="G100">
        <v>25</v>
      </c>
    </row>
    <row r="101" spans="1:7" x14ac:dyDescent="0.25">
      <c r="A101" s="6" t="s">
        <v>128</v>
      </c>
      <c r="B101" s="6" t="s">
        <v>130</v>
      </c>
      <c r="C101" s="6">
        <v>50</v>
      </c>
      <c r="D101" s="10">
        <f t="shared" ref="D101:D132" si="3">((C101*G101)/1000)/1000</f>
        <v>2.9999999999999997E-4</v>
      </c>
      <c r="E101" s="6">
        <f>1019.7/6</f>
        <v>169.95000000000002</v>
      </c>
      <c r="G101">
        <v>6</v>
      </c>
    </row>
    <row r="102" spans="1:7" x14ac:dyDescent="0.25">
      <c r="A102" s="6" t="s">
        <v>128</v>
      </c>
      <c r="B102" s="6" t="s">
        <v>131</v>
      </c>
      <c r="C102" s="6">
        <v>50</v>
      </c>
      <c r="D102" s="10">
        <f t="shared" si="3"/>
        <v>5.0000000000000002E-5</v>
      </c>
      <c r="E102" s="6">
        <v>174.95</v>
      </c>
      <c r="G102">
        <v>1</v>
      </c>
    </row>
    <row r="103" spans="1:7" x14ac:dyDescent="0.25">
      <c r="A103" s="6" t="s">
        <v>128</v>
      </c>
      <c r="B103" s="6" t="s">
        <v>132</v>
      </c>
      <c r="C103" s="6">
        <v>50</v>
      </c>
      <c r="D103" s="10">
        <f t="shared" si="3"/>
        <v>1.4999999999999999E-4</v>
      </c>
      <c r="E103" s="6">
        <v>174.95</v>
      </c>
      <c r="G103">
        <v>3</v>
      </c>
    </row>
    <row r="104" spans="1:7" x14ac:dyDescent="0.25">
      <c r="A104" s="6" t="s">
        <v>128</v>
      </c>
      <c r="B104" s="6" t="s">
        <v>133</v>
      </c>
      <c r="C104" s="6">
        <v>50</v>
      </c>
      <c r="D104" s="10">
        <f t="shared" si="3"/>
        <v>5.0000000000000001E-4</v>
      </c>
      <c r="E104" s="6">
        <v>174.95</v>
      </c>
      <c r="G104">
        <v>10</v>
      </c>
    </row>
    <row r="105" spans="1:7" x14ac:dyDescent="0.25">
      <c r="A105" s="6" t="s">
        <v>128</v>
      </c>
      <c r="B105" s="6" t="s">
        <v>134</v>
      </c>
      <c r="C105" s="6">
        <v>50</v>
      </c>
      <c r="D105" s="10">
        <f t="shared" si="3"/>
        <v>6.4999999999999997E-4</v>
      </c>
      <c r="E105" s="6">
        <v>169.95</v>
      </c>
      <c r="G105">
        <v>13</v>
      </c>
    </row>
    <row r="106" spans="1:7" x14ac:dyDescent="0.25">
      <c r="A106" s="6" t="s">
        <v>129</v>
      </c>
      <c r="B106" s="6" t="s">
        <v>135</v>
      </c>
      <c r="C106" s="6">
        <v>50</v>
      </c>
      <c r="D106" s="10">
        <f t="shared" si="3"/>
        <v>1E-4</v>
      </c>
      <c r="E106" s="6">
        <f>329.9/2</f>
        <v>164.95</v>
      </c>
      <c r="G106">
        <v>2</v>
      </c>
    </row>
    <row r="107" spans="1:7" x14ac:dyDescent="0.25">
      <c r="A107" s="6" t="s">
        <v>29</v>
      </c>
      <c r="B107" s="6" t="s">
        <v>30</v>
      </c>
      <c r="C107" s="6">
        <v>50</v>
      </c>
      <c r="D107" s="10">
        <f t="shared" si="3"/>
        <v>1.4999999999999999E-4</v>
      </c>
      <c r="E107" s="6">
        <v>149.94999999999999</v>
      </c>
      <c r="G107">
        <v>3</v>
      </c>
    </row>
    <row r="108" spans="1:7" x14ac:dyDescent="0.25">
      <c r="A108" s="6" t="s">
        <v>29</v>
      </c>
      <c r="B108" s="6" t="s">
        <v>31</v>
      </c>
      <c r="C108" s="6">
        <v>50</v>
      </c>
      <c r="D108" s="10">
        <f t="shared" si="3"/>
        <v>1.4E-3</v>
      </c>
      <c r="E108" s="6">
        <v>174</v>
      </c>
      <c r="G108">
        <v>28</v>
      </c>
    </row>
    <row r="109" spans="1:7" x14ac:dyDescent="0.25">
      <c r="A109" s="6" t="s">
        <v>29</v>
      </c>
      <c r="B109" s="6" t="s">
        <v>136</v>
      </c>
      <c r="C109" s="6">
        <v>50</v>
      </c>
      <c r="D109" s="10">
        <f t="shared" si="3"/>
        <v>2.2000000000000001E-3</v>
      </c>
      <c r="E109" s="6">
        <v>163.5</v>
      </c>
      <c r="G109">
        <v>44</v>
      </c>
    </row>
    <row r="110" spans="1:7" x14ac:dyDescent="0.25">
      <c r="A110" s="6" t="s">
        <v>29</v>
      </c>
      <c r="B110" s="6" t="s">
        <v>137</v>
      </c>
      <c r="C110" s="6">
        <v>50</v>
      </c>
      <c r="D110" s="10">
        <f t="shared" si="3"/>
        <v>5.5000000000000003E-4</v>
      </c>
      <c r="E110" s="6">
        <v>163.5</v>
      </c>
      <c r="G110">
        <v>11</v>
      </c>
    </row>
    <row r="111" spans="1:7" x14ac:dyDescent="0.25">
      <c r="A111" s="6" t="s">
        <v>29</v>
      </c>
      <c r="B111" s="6" t="s">
        <v>138</v>
      </c>
      <c r="C111" s="6">
        <v>50</v>
      </c>
      <c r="D111" s="10">
        <f t="shared" si="3"/>
        <v>1.1999999999999999E-3</v>
      </c>
      <c r="E111" s="6">
        <v>163.5</v>
      </c>
      <c r="G111">
        <v>24</v>
      </c>
    </row>
    <row r="112" spans="1:7" x14ac:dyDescent="0.25">
      <c r="A112" s="6" t="s">
        <v>29</v>
      </c>
      <c r="B112" s="6" t="s">
        <v>139</v>
      </c>
      <c r="C112" s="6">
        <v>50</v>
      </c>
      <c r="D112" s="10">
        <f t="shared" si="3"/>
        <v>2.65E-3</v>
      </c>
      <c r="E112" s="6">
        <v>169.95</v>
      </c>
      <c r="G112">
        <v>53</v>
      </c>
    </row>
    <row r="113" spans="1:7" x14ac:dyDescent="0.25">
      <c r="A113" s="6" t="s">
        <v>29</v>
      </c>
      <c r="B113" s="6" t="s">
        <v>140</v>
      </c>
      <c r="C113" s="6">
        <v>50</v>
      </c>
      <c r="D113" s="10">
        <f t="shared" si="3"/>
        <v>1.6000000000000001E-3</v>
      </c>
      <c r="E113" s="6">
        <v>169.95</v>
      </c>
      <c r="G113">
        <v>32</v>
      </c>
    </row>
    <row r="114" spans="1:7" x14ac:dyDescent="0.25">
      <c r="A114" s="6" t="s">
        <v>29</v>
      </c>
      <c r="B114" s="6" t="s">
        <v>141</v>
      </c>
      <c r="C114" s="6">
        <v>50</v>
      </c>
      <c r="D114" s="10">
        <f t="shared" si="3"/>
        <v>8.0000000000000004E-4</v>
      </c>
      <c r="E114" s="6">
        <v>159</v>
      </c>
      <c r="G114">
        <v>16</v>
      </c>
    </row>
    <row r="115" spans="1:7" x14ac:dyDescent="0.25">
      <c r="A115" s="6" t="s">
        <v>29</v>
      </c>
      <c r="B115" s="6" t="s">
        <v>142</v>
      </c>
      <c r="C115" s="6">
        <v>50</v>
      </c>
      <c r="D115" s="10">
        <f t="shared" si="3"/>
        <v>2.0499999999999997E-3</v>
      </c>
      <c r="E115" s="6">
        <v>159</v>
      </c>
      <c r="G115">
        <v>41</v>
      </c>
    </row>
    <row r="116" spans="1:7" x14ac:dyDescent="0.25">
      <c r="A116" s="6" t="s">
        <v>29</v>
      </c>
      <c r="B116" s="6" t="s">
        <v>143</v>
      </c>
      <c r="C116" s="6">
        <v>50</v>
      </c>
      <c r="D116" s="10">
        <f t="shared" si="3"/>
        <v>1.25E-3</v>
      </c>
      <c r="E116" s="6">
        <v>152.94999999999999</v>
      </c>
      <c r="G116">
        <v>25</v>
      </c>
    </row>
    <row r="117" spans="1:7" x14ac:dyDescent="0.25">
      <c r="A117" s="6" t="s">
        <v>29</v>
      </c>
      <c r="B117" s="6" t="s">
        <v>144</v>
      </c>
      <c r="C117" s="6">
        <v>50</v>
      </c>
      <c r="D117" s="10">
        <f t="shared" si="3"/>
        <v>4.0000000000000002E-4</v>
      </c>
      <c r="E117" s="6">
        <v>169</v>
      </c>
      <c r="G117">
        <v>8</v>
      </c>
    </row>
    <row r="118" spans="1:7" x14ac:dyDescent="0.25">
      <c r="A118" s="6" t="s">
        <v>29</v>
      </c>
      <c r="B118" s="6" t="s">
        <v>145</v>
      </c>
      <c r="C118" s="6">
        <v>50</v>
      </c>
      <c r="D118" s="10">
        <f t="shared" si="3"/>
        <v>5.5000000000000003E-4</v>
      </c>
      <c r="E118" s="6">
        <v>159</v>
      </c>
      <c r="G118">
        <v>11</v>
      </c>
    </row>
    <row r="119" spans="1:7" x14ac:dyDescent="0.25">
      <c r="A119" s="6" t="s">
        <v>29</v>
      </c>
      <c r="B119" s="6" t="s">
        <v>146</v>
      </c>
      <c r="C119" s="6">
        <v>50</v>
      </c>
      <c r="D119" s="10">
        <f t="shared" si="3"/>
        <v>3.5E-4</v>
      </c>
      <c r="E119" s="6">
        <v>159</v>
      </c>
      <c r="G119">
        <v>7</v>
      </c>
    </row>
    <row r="120" spans="1:7" x14ac:dyDescent="0.25">
      <c r="A120" s="6" t="s">
        <v>29</v>
      </c>
      <c r="B120" s="6" t="s">
        <v>147</v>
      </c>
      <c r="C120" s="6">
        <v>50</v>
      </c>
      <c r="D120" s="10">
        <f t="shared" si="3"/>
        <v>9.5E-4</v>
      </c>
      <c r="E120" s="6">
        <v>159</v>
      </c>
      <c r="G120">
        <v>19</v>
      </c>
    </row>
    <row r="121" spans="1:7" x14ac:dyDescent="0.25">
      <c r="A121" s="6" t="s">
        <v>29</v>
      </c>
      <c r="B121" s="6" t="s">
        <v>148</v>
      </c>
      <c r="C121" s="6">
        <v>50</v>
      </c>
      <c r="D121" s="10">
        <f t="shared" si="3"/>
        <v>9.5E-4</v>
      </c>
      <c r="E121" s="6">
        <v>159</v>
      </c>
      <c r="G121">
        <v>19</v>
      </c>
    </row>
    <row r="122" spans="1:7" x14ac:dyDescent="0.25">
      <c r="A122" s="6" t="s">
        <v>29</v>
      </c>
      <c r="B122" s="6" t="s">
        <v>149</v>
      </c>
      <c r="C122" s="6">
        <v>50</v>
      </c>
      <c r="D122" s="10">
        <f t="shared" si="3"/>
        <v>3.5999999999999999E-3</v>
      </c>
      <c r="E122" s="6">
        <v>159</v>
      </c>
      <c r="G122">
        <v>72</v>
      </c>
    </row>
    <row r="123" spans="1:7" x14ac:dyDescent="0.25">
      <c r="A123" s="6" t="s">
        <v>29</v>
      </c>
      <c r="B123" s="6" t="s">
        <v>150</v>
      </c>
      <c r="C123" s="6">
        <v>50</v>
      </c>
      <c r="D123" s="10">
        <f t="shared" si="3"/>
        <v>1.65E-3</v>
      </c>
      <c r="E123" s="6">
        <v>159</v>
      </c>
      <c r="G123">
        <v>33</v>
      </c>
    </row>
    <row r="124" spans="1:7" x14ac:dyDescent="0.25">
      <c r="A124" s="6" t="s">
        <v>29</v>
      </c>
      <c r="B124" s="6" t="s">
        <v>151</v>
      </c>
      <c r="C124" s="6">
        <v>50</v>
      </c>
      <c r="D124" s="10">
        <f t="shared" si="3"/>
        <v>6.9999999999999999E-4</v>
      </c>
      <c r="E124" s="6">
        <v>159</v>
      </c>
      <c r="G124">
        <v>14</v>
      </c>
    </row>
    <row r="125" spans="1:7" x14ac:dyDescent="0.25">
      <c r="A125" s="6" t="s">
        <v>29</v>
      </c>
      <c r="B125" s="6" t="s">
        <v>152</v>
      </c>
      <c r="C125" s="6">
        <v>50</v>
      </c>
      <c r="D125" s="10">
        <f t="shared" si="3"/>
        <v>8.4999999999999995E-4</v>
      </c>
      <c r="E125" s="6">
        <v>159</v>
      </c>
      <c r="G125">
        <v>17</v>
      </c>
    </row>
    <row r="126" spans="1:7" x14ac:dyDescent="0.25">
      <c r="A126" s="6" t="s">
        <v>29</v>
      </c>
      <c r="B126" s="6" t="s">
        <v>153</v>
      </c>
      <c r="C126" s="6">
        <v>50</v>
      </c>
      <c r="D126" s="10">
        <f t="shared" si="3"/>
        <v>2.1000000000000003E-3</v>
      </c>
      <c r="E126" s="6">
        <v>159</v>
      </c>
      <c r="G126">
        <v>42</v>
      </c>
    </row>
    <row r="127" spans="1:7" x14ac:dyDescent="0.25">
      <c r="A127" s="6" t="s">
        <v>29</v>
      </c>
      <c r="B127" s="6" t="s">
        <v>154</v>
      </c>
      <c r="C127" s="6">
        <v>50</v>
      </c>
      <c r="D127" s="10">
        <f t="shared" si="3"/>
        <v>8.9999999999999998E-4</v>
      </c>
      <c r="E127" s="6">
        <v>159</v>
      </c>
      <c r="G127">
        <v>18</v>
      </c>
    </row>
    <row r="128" spans="1:7" x14ac:dyDescent="0.25">
      <c r="A128" s="6" t="s">
        <v>155</v>
      </c>
      <c r="B128" s="6" t="s">
        <v>15</v>
      </c>
      <c r="C128" s="6">
        <v>50</v>
      </c>
      <c r="D128" s="10">
        <f t="shared" si="3"/>
        <v>1E-4</v>
      </c>
      <c r="E128" s="6">
        <f>319.9/2</f>
        <v>159.94999999999999</v>
      </c>
      <c r="G128">
        <v>2</v>
      </c>
    </row>
    <row r="129" spans="1:7" x14ac:dyDescent="0.25">
      <c r="A129" s="6" t="s">
        <v>156</v>
      </c>
      <c r="B129" s="6" t="s">
        <v>163</v>
      </c>
      <c r="C129" s="6">
        <v>50</v>
      </c>
      <c r="D129" s="10">
        <f t="shared" si="3"/>
        <v>1.4999999999999999E-4</v>
      </c>
      <c r="E129" s="6">
        <f>471/3</f>
        <v>157</v>
      </c>
      <c r="G129">
        <v>3</v>
      </c>
    </row>
    <row r="130" spans="1:7" x14ac:dyDescent="0.25">
      <c r="A130" s="6" t="s">
        <v>157</v>
      </c>
      <c r="B130" s="6" t="s">
        <v>164</v>
      </c>
      <c r="C130" s="6">
        <v>30</v>
      </c>
      <c r="D130" s="10">
        <f t="shared" si="3"/>
        <v>2.0999999999999998E-4</v>
      </c>
      <c r="E130" s="6">
        <v>95</v>
      </c>
      <c r="G130">
        <v>7</v>
      </c>
    </row>
    <row r="131" spans="1:7" x14ac:dyDescent="0.25">
      <c r="A131" s="6" t="s">
        <v>157</v>
      </c>
      <c r="B131" s="6" t="s">
        <v>68</v>
      </c>
      <c r="C131" s="6">
        <v>30</v>
      </c>
      <c r="D131" s="10">
        <f t="shared" si="3"/>
        <v>2.0999999999999998E-4</v>
      </c>
      <c r="E131" s="6">
        <v>95</v>
      </c>
      <c r="G131">
        <v>7</v>
      </c>
    </row>
    <row r="132" spans="1:7" x14ac:dyDescent="0.25">
      <c r="A132" s="6" t="s">
        <v>158</v>
      </c>
      <c r="B132" s="6" t="s">
        <v>165</v>
      </c>
      <c r="C132" s="6">
        <v>50</v>
      </c>
      <c r="D132" s="10">
        <f t="shared" si="3"/>
        <v>5.0000000000000001E-4</v>
      </c>
      <c r="E132" s="6">
        <v>169.95</v>
      </c>
      <c r="G132">
        <v>10</v>
      </c>
    </row>
    <row r="133" spans="1:7" x14ac:dyDescent="0.25">
      <c r="A133" s="6" t="s">
        <v>159</v>
      </c>
      <c r="B133" s="6" t="s">
        <v>166</v>
      </c>
      <c r="C133" s="6">
        <v>50</v>
      </c>
      <c r="D133" s="10">
        <f t="shared" ref="D133:D149" si="4">((C133*G133)/1000)/1000</f>
        <v>5.9999999999999995E-4</v>
      </c>
      <c r="E133" s="6">
        <v>163</v>
      </c>
      <c r="G133">
        <v>12</v>
      </c>
    </row>
    <row r="134" spans="1:7" x14ac:dyDescent="0.25">
      <c r="A134" s="6" t="s">
        <v>160</v>
      </c>
      <c r="B134" s="6" t="s">
        <v>167</v>
      </c>
      <c r="C134" s="6">
        <v>50</v>
      </c>
      <c r="D134" s="10">
        <f t="shared" si="4"/>
        <v>1.4999999999999999E-4</v>
      </c>
      <c r="E134" s="6">
        <f>539.85/3</f>
        <v>179.95000000000002</v>
      </c>
      <c r="G134">
        <v>3</v>
      </c>
    </row>
    <row r="135" spans="1:7" x14ac:dyDescent="0.25">
      <c r="A135" s="6" t="s">
        <v>160</v>
      </c>
      <c r="B135" s="6" t="s">
        <v>168</v>
      </c>
      <c r="C135" s="6">
        <v>30</v>
      </c>
      <c r="D135" s="10">
        <f t="shared" si="4"/>
        <v>9.3000000000000005E-4</v>
      </c>
      <c r="E135" s="6">
        <v>99</v>
      </c>
      <c r="G135">
        <v>31</v>
      </c>
    </row>
    <row r="136" spans="1:7" x14ac:dyDescent="0.25">
      <c r="A136" s="6" t="s">
        <v>160</v>
      </c>
      <c r="B136" s="6" t="s">
        <v>169</v>
      </c>
      <c r="C136" s="6">
        <v>50</v>
      </c>
      <c r="D136" s="10">
        <f t="shared" si="4"/>
        <v>5.9999999999999995E-4</v>
      </c>
      <c r="E136" s="6">
        <f>2141.45/12</f>
        <v>178.45416666666665</v>
      </c>
      <c r="G136">
        <v>12</v>
      </c>
    </row>
    <row r="137" spans="1:7" x14ac:dyDescent="0.25">
      <c r="A137" s="6" t="s">
        <v>161</v>
      </c>
      <c r="B137" s="6" t="s">
        <v>170</v>
      </c>
      <c r="C137" s="6">
        <v>50</v>
      </c>
      <c r="D137" s="10">
        <f t="shared" si="4"/>
        <v>2.0000000000000001E-4</v>
      </c>
      <c r="E137" s="6">
        <v>167.5</v>
      </c>
      <c r="G137">
        <v>4</v>
      </c>
    </row>
    <row r="138" spans="1:7" x14ac:dyDescent="0.25">
      <c r="A138" s="6" t="s">
        <v>161</v>
      </c>
      <c r="B138" s="6" t="s">
        <v>171</v>
      </c>
      <c r="C138" s="6">
        <v>50</v>
      </c>
      <c r="D138" s="10">
        <f t="shared" si="4"/>
        <v>2.5000000000000001E-4</v>
      </c>
      <c r="E138" s="6">
        <v>167.5</v>
      </c>
      <c r="G138">
        <v>5</v>
      </c>
    </row>
    <row r="139" spans="1:7" x14ac:dyDescent="0.25">
      <c r="A139" s="6" t="s">
        <v>161</v>
      </c>
      <c r="B139" s="6" t="s">
        <v>172</v>
      </c>
      <c r="C139" s="6">
        <v>50</v>
      </c>
      <c r="D139" s="10">
        <f t="shared" si="4"/>
        <v>1E-4</v>
      </c>
      <c r="E139" s="6">
        <v>167.5</v>
      </c>
      <c r="G139">
        <v>2</v>
      </c>
    </row>
    <row r="140" spans="1:7" x14ac:dyDescent="0.25">
      <c r="A140" s="6" t="s">
        <v>162</v>
      </c>
      <c r="B140" s="6" t="s">
        <v>173</v>
      </c>
      <c r="C140" s="6">
        <v>30</v>
      </c>
      <c r="D140" s="10">
        <f t="shared" si="4"/>
        <v>8.3999999999999993E-4</v>
      </c>
      <c r="E140" s="6">
        <v>90</v>
      </c>
      <c r="G140">
        <v>28</v>
      </c>
    </row>
    <row r="141" spans="1:7" x14ac:dyDescent="0.25">
      <c r="A141" s="6" t="s">
        <v>162</v>
      </c>
      <c r="B141" s="6" t="s">
        <v>174</v>
      </c>
      <c r="C141" s="6">
        <v>30</v>
      </c>
      <c r="D141" s="10">
        <f t="shared" si="4"/>
        <v>2.9999999999999997E-4</v>
      </c>
      <c r="E141" s="6">
        <v>89.95</v>
      </c>
      <c r="G141">
        <v>10</v>
      </c>
    </row>
    <row r="142" spans="1:7" x14ac:dyDescent="0.25">
      <c r="A142" s="6" t="s">
        <v>162</v>
      </c>
      <c r="B142" s="6" t="s">
        <v>175</v>
      </c>
      <c r="C142" s="6">
        <v>30</v>
      </c>
      <c r="D142" s="10">
        <f t="shared" si="4"/>
        <v>1.1999999999999999E-4</v>
      </c>
      <c r="E142" s="6">
        <f>348/4</f>
        <v>87</v>
      </c>
      <c r="G142">
        <v>4</v>
      </c>
    </row>
    <row r="143" spans="1:7" x14ac:dyDescent="0.25">
      <c r="A143" s="6" t="s">
        <v>162</v>
      </c>
      <c r="B143" s="6" t="s">
        <v>176</v>
      </c>
      <c r="C143" s="6">
        <v>30</v>
      </c>
      <c r="D143" s="10">
        <f t="shared" si="4"/>
        <v>4.1999999999999996E-4</v>
      </c>
      <c r="E143" s="6">
        <v>91.95</v>
      </c>
      <c r="G143">
        <v>14</v>
      </c>
    </row>
    <row r="144" spans="1:7" x14ac:dyDescent="0.25">
      <c r="A144" s="6" t="s">
        <v>162</v>
      </c>
      <c r="B144" s="6" t="s">
        <v>177</v>
      </c>
      <c r="C144" s="6">
        <v>50</v>
      </c>
      <c r="D144" s="10">
        <f t="shared" si="4"/>
        <v>5.0000000000000001E-4</v>
      </c>
      <c r="E144" s="6">
        <v>148.69999999999999</v>
      </c>
      <c r="G144">
        <v>10</v>
      </c>
    </row>
    <row r="145" spans="1:7" x14ac:dyDescent="0.25">
      <c r="A145" s="6" t="s">
        <v>162</v>
      </c>
      <c r="B145" s="6" t="s">
        <v>178</v>
      </c>
      <c r="C145" s="6">
        <v>50</v>
      </c>
      <c r="D145" s="10">
        <f t="shared" si="4"/>
        <v>2.5000000000000001E-4</v>
      </c>
      <c r="E145" s="6">
        <f>799.75/5</f>
        <v>159.94999999999999</v>
      </c>
      <c r="G145">
        <v>5</v>
      </c>
    </row>
    <row r="146" spans="1:7" x14ac:dyDescent="0.25">
      <c r="A146" s="6" t="s">
        <v>162</v>
      </c>
      <c r="B146" s="6" t="s">
        <v>179</v>
      </c>
      <c r="C146" s="6">
        <v>50</v>
      </c>
      <c r="D146" s="10">
        <f t="shared" si="4"/>
        <v>4.0000000000000002E-4</v>
      </c>
      <c r="E146" s="6">
        <f>799.75/5</f>
        <v>159.94999999999999</v>
      </c>
      <c r="G146">
        <v>8</v>
      </c>
    </row>
    <row r="147" spans="1:7" x14ac:dyDescent="0.25">
      <c r="A147" s="6" t="s">
        <v>180</v>
      </c>
      <c r="B147" s="6" t="s">
        <v>181</v>
      </c>
      <c r="C147" s="6">
        <v>50</v>
      </c>
      <c r="D147" s="10">
        <f t="shared" si="4"/>
        <v>2.0000000000000001E-4</v>
      </c>
      <c r="E147" s="6">
        <v>162</v>
      </c>
      <c r="G147">
        <v>4</v>
      </c>
    </row>
    <row r="148" spans="1:7" x14ac:dyDescent="0.25">
      <c r="A148" s="6" t="s">
        <v>180</v>
      </c>
      <c r="B148" s="6" t="s">
        <v>182</v>
      </c>
      <c r="C148" s="6">
        <v>50</v>
      </c>
      <c r="D148" s="10">
        <f t="shared" si="4"/>
        <v>5.0000000000000002E-5</v>
      </c>
      <c r="E148" s="6">
        <v>162</v>
      </c>
      <c r="G148">
        <v>1</v>
      </c>
    </row>
    <row r="149" spans="1:7" x14ac:dyDescent="0.25">
      <c r="A149" s="6" t="s">
        <v>180</v>
      </c>
      <c r="B149" s="6" t="s">
        <v>183</v>
      </c>
      <c r="C149" s="6">
        <v>50</v>
      </c>
      <c r="D149" s="10">
        <f t="shared" si="4"/>
        <v>2.9999999999999997E-4</v>
      </c>
      <c r="E149" s="6">
        <v>162</v>
      </c>
      <c r="G149">
        <v>6</v>
      </c>
    </row>
  </sheetData>
  <sortState xmlns:xlrd2="http://schemas.microsoft.com/office/spreadsheetml/2017/richdata2" ref="A5:G149">
    <sortCondition ref="A5:A14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79"/>
  <sheetViews>
    <sheetView zoomScale="98" zoomScaleNormal="98" workbookViewId="0">
      <selection activeCell="J5" sqref="J5"/>
    </sheetView>
  </sheetViews>
  <sheetFormatPr defaultRowHeight="13.2" x14ac:dyDescent="0.25"/>
  <cols>
    <col min="1" max="1" width="33.33203125" style="6" bestFit="1" customWidth="1"/>
    <col min="2" max="2" width="58" style="6" bestFit="1" customWidth="1"/>
    <col min="3" max="3" width="15.44140625" style="16" bestFit="1" customWidth="1"/>
    <col min="4" max="4" width="14.77734375" style="16" bestFit="1" customWidth="1"/>
    <col min="5" max="5" width="13.21875" style="16" bestFit="1" customWidth="1"/>
  </cols>
  <sheetData>
    <row r="1" spans="1:5" x14ac:dyDescent="0.25">
      <c r="A1"/>
      <c r="B1"/>
      <c r="C1" s="18"/>
      <c r="D1" s="18"/>
      <c r="E1" s="18"/>
    </row>
    <row r="2" spans="1:5" ht="21" x14ac:dyDescent="0.4">
      <c r="A2" s="1" t="s">
        <v>11</v>
      </c>
      <c r="B2"/>
      <c r="C2" s="18"/>
      <c r="D2" s="18"/>
      <c r="E2" s="18"/>
    </row>
    <row r="3" spans="1:5" x14ac:dyDescent="0.25">
      <c r="A3" s="7"/>
      <c r="B3" s="7"/>
      <c r="C3" s="19"/>
      <c r="D3" s="19"/>
      <c r="E3" s="19"/>
    </row>
    <row r="4" spans="1:5" ht="52.8" x14ac:dyDescent="0.25">
      <c r="A4" s="4" t="s">
        <v>0</v>
      </c>
      <c r="B4" s="4" t="s">
        <v>1</v>
      </c>
      <c r="C4" s="20" t="s">
        <v>8</v>
      </c>
      <c r="D4" s="20" t="s">
        <v>5</v>
      </c>
      <c r="E4" s="20" t="s">
        <v>2</v>
      </c>
    </row>
    <row r="5" spans="1:5" x14ac:dyDescent="0.25">
      <c r="A5" s="6" t="s">
        <v>186</v>
      </c>
      <c r="B5" s="6" t="s">
        <v>187</v>
      </c>
      <c r="C5" s="16">
        <v>5</v>
      </c>
      <c r="D5" s="16">
        <v>58</v>
      </c>
      <c r="E5" s="16">
        <v>79.95</v>
      </c>
    </row>
    <row r="6" spans="1:5" x14ac:dyDescent="0.25">
      <c r="A6" s="6" t="s">
        <v>186</v>
      </c>
      <c r="B6" s="6" t="s">
        <v>188</v>
      </c>
      <c r="C6" s="16">
        <v>5</v>
      </c>
      <c r="D6" s="16">
        <v>42</v>
      </c>
      <c r="E6" s="16">
        <v>79.95</v>
      </c>
    </row>
    <row r="7" spans="1:5" x14ac:dyDescent="0.25">
      <c r="A7" s="6" t="s">
        <v>189</v>
      </c>
      <c r="B7" s="6" t="s">
        <v>190</v>
      </c>
      <c r="C7" s="16">
        <v>5</v>
      </c>
      <c r="D7" s="16">
        <v>23</v>
      </c>
      <c r="E7" s="16">
        <v>50</v>
      </c>
    </row>
    <row r="8" spans="1:5" x14ac:dyDescent="0.25">
      <c r="A8" s="6" t="s">
        <v>189</v>
      </c>
      <c r="B8" s="6" t="s">
        <v>55</v>
      </c>
      <c r="C8" s="16">
        <v>5</v>
      </c>
      <c r="D8" s="16">
        <v>24</v>
      </c>
      <c r="E8" s="16">
        <v>50</v>
      </c>
    </row>
    <row r="9" spans="1:5" x14ac:dyDescent="0.25">
      <c r="A9" s="6" t="s">
        <v>214</v>
      </c>
      <c r="B9" s="6" t="s">
        <v>215</v>
      </c>
      <c r="C9" s="16">
        <v>25</v>
      </c>
      <c r="D9" s="16">
        <v>2</v>
      </c>
      <c r="E9" s="16">
        <v>1350</v>
      </c>
    </row>
    <row r="10" spans="1:5" x14ac:dyDescent="0.25">
      <c r="A10" s="6" t="s">
        <v>216</v>
      </c>
      <c r="B10" s="6" t="s">
        <v>217</v>
      </c>
      <c r="C10" s="16">
        <v>1</v>
      </c>
      <c r="D10" s="16">
        <v>37</v>
      </c>
      <c r="E10" s="16">
        <v>60</v>
      </c>
    </row>
    <row r="11" spans="1:5" x14ac:dyDescent="0.25">
      <c r="A11" s="6" t="s">
        <v>216</v>
      </c>
      <c r="B11" s="6" t="s">
        <v>218</v>
      </c>
      <c r="C11" s="16">
        <v>1</v>
      </c>
      <c r="D11" s="16">
        <v>20</v>
      </c>
      <c r="E11" s="16">
        <v>70</v>
      </c>
    </row>
    <row r="12" spans="1:5" x14ac:dyDescent="0.25">
      <c r="A12" s="6" t="s">
        <v>216</v>
      </c>
      <c r="B12" s="6" t="s">
        <v>223</v>
      </c>
      <c r="C12" s="16">
        <v>1</v>
      </c>
      <c r="D12" s="16">
        <v>4</v>
      </c>
      <c r="E12" s="16">
        <v>52</v>
      </c>
    </row>
    <row r="13" spans="1:5" x14ac:dyDescent="0.25">
      <c r="A13" s="6" t="s">
        <v>216</v>
      </c>
      <c r="B13" s="6" t="s">
        <v>224</v>
      </c>
      <c r="C13" s="16">
        <v>1</v>
      </c>
      <c r="D13" s="16">
        <v>26</v>
      </c>
      <c r="E13" s="16">
        <v>62</v>
      </c>
    </row>
    <row r="14" spans="1:5" x14ac:dyDescent="0.25">
      <c r="A14" s="6" t="s">
        <v>216</v>
      </c>
      <c r="B14" s="6" t="s">
        <v>225</v>
      </c>
      <c r="C14" s="16">
        <v>1</v>
      </c>
      <c r="D14" s="16">
        <v>23</v>
      </c>
      <c r="E14" s="16">
        <v>56</v>
      </c>
    </row>
    <row r="15" spans="1:5" x14ac:dyDescent="0.25">
      <c r="A15" s="6" t="s">
        <v>216</v>
      </c>
      <c r="B15" s="6" t="s">
        <v>226</v>
      </c>
      <c r="C15" s="16">
        <v>1</v>
      </c>
      <c r="D15" s="16">
        <v>22</v>
      </c>
      <c r="E15" s="16">
        <v>72</v>
      </c>
    </row>
    <row r="16" spans="1:5" x14ac:dyDescent="0.25">
      <c r="A16" s="6" t="s">
        <v>216</v>
      </c>
      <c r="B16" s="6" t="s">
        <v>227</v>
      </c>
      <c r="C16" s="16">
        <v>1</v>
      </c>
      <c r="D16" s="16">
        <v>21</v>
      </c>
      <c r="E16" s="16">
        <v>72</v>
      </c>
    </row>
    <row r="17" spans="1:5" x14ac:dyDescent="0.25">
      <c r="A17" s="6" t="s">
        <v>216</v>
      </c>
      <c r="B17" s="6" t="s">
        <v>228</v>
      </c>
      <c r="C17" s="16">
        <v>1</v>
      </c>
      <c r="D17" s="16">
        <v>20</v>
      </c>
      <c r="E17" s="16">
        <v>64</v>
      </c>
    </row>
    <row r="18" spans="1:5" x14ac:dyDescent="0.25">
      <c r="A18" s="6" t="s">
        <v>216</v>
      </c>
      <c r="B18" s="6" t="s">
        <v>229</v>
      </c>
      <c r="C18" s="16">
        <v>1</v>
      </c>
      <c r="D18" s="16">
        <v>7</v>
      </c>
      <c r="E18" s="16">
        <v>82</v>
      </c>
    </row>
    <row r="19" spans="1:5" x14ac:dyDescent="0.25">
      <c r="A19" s="6" t="s">
        <v>216</v>
      </c>
      <c r="B19" s="6" t="s">
        <v>219</v>
      </c>
      <c r="C19" s="16">
        <v>1</v>
      </c>
      <c r="D19" s="16">
        <v>56</v>
      </c>
      <c r="E19" s="16">
        <v>52.5</v>
      </c>
    </row>
    <row r="20" spans="1:5" x14ac:dyDescent="0.25">
      <c r="A20" s="6" t="s">
        <v>216</v>
      </c>
      <c r="B20" s="6" t="s">
        <v>220</v>
      </c>
      <c r="C20" s="16">
        <v>1</v>
      </c>
      <c r="D20" s="16">
        <v>10</v>
      </c>
      <c r="E20" s="16">
        <v>50</v>
      </c>
    </row>
    <row r="21" spans="1:5" x14ac:dyDescent="0.25">
      <c r="A21" s="6" t="s">
        <v>216</v>
      </c>
      <c r="B21" s="6" t="s">
        <v>221</v>
      </c>
      <c r="C21" s="16">
        <v>1</v>
      </c>
      <c r="D21" s="16">
        <v>17</v>
      </c>
      <c r="E21" s="16">
        <v>58</v>
      </c>
    </row>
    <row r="22" spans="1:5" x14ac:dyDescent="0.25">
      <c r="A22" s="6" t="s">
        <v>216</v>
      </c>
      <c r="B22" s="6" t="s">
        <v>222</v>
      </c>
      <c r="C22" s="16">
        <v>1</v>
      </c>
      <c r="D22" s="16">
        <v>9</v>
      </c>
      <c r="E22" s="16">
        <v>50</v>
      </c>
    </row>
    <row r="23" spans="1:5" x14ac:dyDescent="0.25">
      <c r="A23" s="6" t="s">
        <v>216</v>
      </c>
      <c r="B23" s="6" t="s">
        <v>230</v>
      </c>
      <c r="C23" s="16">
        <v>1</v>
      </c>
      <c r="D23" s="16">
        <f>32+25</f>
        <v>57</v>
      </c>
      <c r="E23" s="16">
        <v>40</v>
      </c>
    </row>
    <row r="24" spans="1:5" x14ac:dyDescent="0.25">
      <c r="A24" s="6" t="s">
        <v>216</v>
      </c>
      <c r="B24" s="6" t="s">
        <v>231</v>
      </c>
      <c r="C24" s="16">
        <v>1</v>
      </c>
      <c r="D24" s="16">
        <f>25+18</f>
        <v>43</v>
      </c>
      <c r="E24" s="16">
        <v>40</v>
      </c>
    </row>
    <row r="25" spans="1:5" x14ac:dyDescent="0.25">
      <c r="A25" s="6" t="s">
        <v>216</v>
      </c>
      <c r="B25" s="6" t="s">
        <v>232</v>
      </c>
      <c r="C25" s="16">
        <v>1</v>
      </c>
      <c r="D25" s="16">
        <v>59</v>
      </c>
      <c r="E25" s="16">
        <v>40</v>
      </c>
    </row>
    <row r="26" spans="1:5" x14ac:dyDescent="0.25">
      <c r="A26" s="6" t="s">
        <v>216</v>
      </c>
      <c r="B26" s="6" t="s">
        <v>233</v>
      </c>
      <c r="C26" s="16">
        <v>1</v>
      </c>
      <c r="D26" s="16">
        <f>25+25+24</f>
        <v>74</v>
      </c>
      <c r="E26" s="16">
        <v>40</v>
      </c>
    </row>
    <row r="27" spans="1:5" x14ac:dyDescent="0.25">
      <c r="A27" s="6" t="s">
        <v>216</v>
      </c>
      <c r="B27" s="6" t="s">
        <v>234</v>
      </c>
      <c r="C27" s="16">
        <v>1</v>
      </c>
      <c r="D27" s="16">
        <v>17</v>
      </c>
      <c r="E27" s="16">
        <f>504/6</f>
        <v>84</v>
      </c>
    </row>
    <row r="28" spans="1:5" x14ac:dyDescent="0.25">
      <c r="A28" s="6" t="s">
        <v>216</v>
      </c>
      <c r="B28" s="6" t="s">
        <v>235</v>
      </c>
      <c r="C28" s="16">
        <v>1</v>
      </c>
      <c r="D28" s="16">
        <f>27+32+20</f>
        <v>79</v>
      </c>
      <c r="E28" s="16">
        <v>47</v>
      </c>
    </row>
    <row r="29" spans="1:5" x14ac:dyDescent="0.25">
      <c r="A29" s="6" t="s">
        <v>216</v>
      </c>
      <c r="B29" s="6" t="s">
        <v>236</v>
      </c>
      <c r="C29" s="16">
        <v>1</v>
      </c>
      <c r="D29" s="16">
        <f>12+10+5+9</f>
        <v>36</v>
      </c>
      <c r="E29" s="16">
        <f>864/12</f>
        <v>72</v>
      </c>
    </row>
    <row r="30" spans="1:5" x14ac:dyDescent="0.25">
      <c r="A30" s="6" t="s">
        <v>216</v>
      </c>
      <c r="B30" s="6" t="s">
        <v>237</v>
      </c>
      <c r="C30" s="16">
        <v>1</v>
      </c>
      <c r="D30" s="16">
        <f>12+5+3</f>
        <v>20</v>
      </c>
      <c r="E30" s="16">
        <f>220/5</f>
        <v>44</v>
      </c>
    </row>
    <row r="31" spans="1:5" x14ac:dyDescent="0.25">
      <c r="A31" s="6" t="s">
        <v>216</v>
      </c>
      <c r="B31" s="6" t="s">
        <v>238</v>
      </c>
      <c r="C31" s="16">
        <v>1</v>
      </c>
      <c r="D31" s="16">
        <f>3+5+3+3+5+6</f>
        <v>25</v>
      </c>
      <c r="E31" s="16">
        <v>58</v>
      </c>
    </row>
    <row r="32" spans="1:5" x14ac:dyDescent="0.25">
      <c r="A32" s="6" t="s">
        <v>216</v>
      </c>
      <c r="B32" s="6" t="s">
        <v>239</v>
      </c>
      <c r="C32" s="16">
        <v>1</v>
      </c>
      <c r="D32" s="16">
        <f>28+12</f>
        <v>40</v>
      </c>
      <c r="E32" s="16">
        <v>46</v>
      </c>
    </row>
    <row r="33" spans="1:5" x14ac:dyDescent="0.25">
      <c r="A33" s="6" t="s">
        <v>216</v>
      </c>
      <c r="B33" s="6" t="s">
        <v>240</v>
      </c>
      <c r="C33" s="16">
        <v>1</v>
      </c>
      <c r="D33" s="16">
        <f>18+5+9</f>
        <v>32</v>
      </c>
      <c r="E33" s="16">
        <f>450/9</f>
        <v>50</v>
      </c>
    </row>
    <row r="34" spans="1:5" x14ac:dyDescent="0.25">
      <c r="A34" s="6" t="s">
        <v>216</v>
      </c>
      <c r="B34" s="6" t="s">
        <v>241</v>
      </c>
      <c r="C34" s="16">
        <v>1</v>
      </c>
      <c r="D34" s="16">
        <f>12+20+20+9+10</f>
        <v>71</v>
      </c>
      <c r="E34" s="16">
        <v>56</v>
      </c>
    </row>
    <row r="35" spans="1:5" x14ac:dyDescent="0.25">
      <c r="A35" s="6" t="s">
        <v>216</v>
      </c>
      <c r="B35" s="6" t="s">
        <v>242</v>
      </c>
      <c r="C35" s="16">
        <v>1</v>
      </c>
      <c r="D35" s="16">
        <v>17</v>
      </c>
      <c r="E35" s="16">
        <f>780/12</f>
        <v>65</v>
      </c>
    </row>
    <row r="36" spans="1:5" x14ac:dyDescent="0.25">
      <c r="A36" s="6" t="s">
        <v>216</v>
      </c>
      <c r="B36" s="6" t="s">
        <v>243</v>
      </c>
      <c r="C36" s="16">
        <v>1</v>
      </c>
      <c r="D36" s="16">
        <v>24</v>
      </c>
      <c r="E36" s="16">
        <v>75</v>
      </c>
    </row>
    <row r="37" spans="1:5" x14ac:dyDescent="0.25">
      <c r="A37" s="6" t="s">
        <v>216</v>
      </c>
      <c r="B37" s="6" t="s">
        <v>244</v>
      </c>
      <c r="C37" s="16">
        <v>5</v>
      </c>
      <c r="D37" s="16">
        <v>4</v>
      </c>
      <c r="E37" s="16">
        <v>279.95</v>
      </c>
    </row>
    <row r="38" spans="1:5" x14ac:dyDescent="0.25">
      <c r="A38" s="6" t="s">
        <v>216</v>
      </c>
      <c r="B38" s="6" t="s">
        <v>245</v>
      </c>
      <c r="C38" s="16">
        <v>1</v>
      </c>
      <c r="D38" s="16">
        <f>133+50</f>
        <v>183</v>
      </c>
      <c r="E38" s="16">
        <v>58</v>
      </c>
    </row>
    <row r="39" spans="1:5" x14ac:dyDescent="0.25">
      <c r="A39" s="6" t="s">
        <v>216</v>
      </c>
      <c r="B39" s="6" t="s">
        <v>246</v>
      </c>
      <c r="C39" s="16">
        <v>1</v>
      </c>
      <c r="D39" s="16">
        <v>95</v>
      </c>
      <c r="E39" s="16">
        <v>65</v>
      </c>
    </row>
    <row r="40" spans="1:5" x14ac:dyDescent="0.25">
      <c r="A40" s="6" t="s">
        <v>216</v>
      </c>
      <c r="B40" s="6" t="s">
        <v>247</v>
      </c>
      <c r="C40" s="16">
        <v>1</v>
      </c>
      <c r="D40" s="16">
        <f>35+20+3+10</f>
        <v>68</v>
      </c>
      <c r="E40" s="16">
        <v>65</v>
      </c>
    </row>
    <row r="41" spans="1:5" x14ac:dyDescent="0.25">
      <c r="A41" s="6" t="s">
        <v>216</v>
      </c>
      <c r="B41" s="6" t="s">
        <v>248</v>
      </c>
      <c r="C41" s="16">
        <v>1</v>
      </c>
      <c r="D41" s="16">
        <f>57+10+12</f>
        <v>79</v>
      </c>
      <c r="E41" s="16">
        <v>65</v>
      </c>
    </row>
    <row r="42" spans="1:5" x14ac:dyDescent="0.25">
      <c r="A42" s="6" t="s">
        <v>216</v>
      </c>
      <c r="B42" s="6" t="s">
        <v>249</v>
      </c>
      <c r="C42" s="16">
        <v>1</v>
      </c>
      <c r="D42" s="16">
        <v>2</v>
      </c>
      <c r="E42" s="16">
        <v>66</v>
      </c>
    </row>
    <row r="43" spans="1:5" x14ac:dyDescent="0.25">
      <c r="A43" s="6" t="s">
        <v>250</v>
      </c>
      <c r="B43" s="6" t="s">
        <v>253</v>
      </c>
      <c r="C43" s="16">
        <v>1</v>
      </c>
      <c r="D43" s="16">
        <v>71</v>
      </c>
      <c r="E43" s="16">
        <v>55</v>
      </c>
    </row>
    <row r="44" spans="1:5" x14ac:dyDescent="0.25">
      <c r="A44" s="6" t="s">
        <v>250</v>
      </c>
      <c r="B44" s="6" t="s">
        <v>1158</v>
      </c>
      <c r="C44" s="16">
        <v>1</v>
      </c>
      <c r="D44" s="16">
        <v>10</v>
      </c>
      <c r="E44" s="16">
        <v>65</v>
      </c>
    </row>
    <row r="45" spans="1:5" x14ac:dyDescent="0.25">
      <c r="A45" s="6" t="s">
        <v>250</v>
      </c>
      <c r="B45" s="6" t="s">
        <v>254</v>
      </c>
      <c r="C45" s="16">
        <v>1</v>
      </c>
      <c r="D45" s="16">
        <v>4</v>
      </c>
      <c r="E45" s="16">
        <f>286/4</f>
        <v>71.5</v>
      </c>
    </row>
    <row r="46" spans="1:5" x14ac:dyDescent="0.25">
      <c r="A46" s="6" t="s">
        <v>251</v>
      </c>
      <c r="B46" s="6" t="s">
        <v>255</v>
      </c>
      <c r="C46" s="16">
        <v>1</v>
      </c>
      <c r="D46" s="16">
        <v>5</v>
      </c>
      <c r="E46" s="16">
        <v>58</v>
      </c>
    </row>
    <row r="47" spans="1:5" x14ac:dyDescent="0.25">
      <c r="A47" s="6" t="s">
        <v>251</v>
      </c>
      <c r="B47" s="6" t="s">
        <v>256</v>
      </c>
      <c r="C47" s="16">
        <v>1</v>
      </c>
      <c r="D47" s="16">
        <v>7</v>
      </c>
      <c r="E47" s="16">
        <v>58</v>
      </c>
    </row>
    <row r="48" spans="1:5" x14ac:dyDescent="0.25">
      <c r="A48" s="6" t="s">
        <v>251</v>
      </c>
      <c r="B48" s="6" t="s">
        <v>257</v>
      </c>
      <c r="C48" s="16">
        <v>1</v>
      </c>
      <c r="D48" s="16">
        <v>5</v>
      </c>
      <c r="E48" s="16">
        <v>58</v>
      </c>
    </row>
    <row r="49" spans="1:5" x14ac:dyDescent="0.25">
      <c r="A49" s="6" t="s">
        <v>251</v>
      </c>
      <c r="B49" s="6" t="s">
        <v>258</v>
      </c>
      <c r="C49" s="16">
        <v>1</v>
      </c>
      <c r="D49" s="16">
        <v>11</v>
      </c>
      <c r="E49" s="16">
        <v>58</v>
      </c>
    </row>
    <row r="50" spans="1:5" x14ac:dyDescent="0.25">
      <c r="A50" s="6" t="s">
        <v>251</v>
      </c>
      <c r="B50" s="6" t="s">
        <v>259</v>
      </c>
      <c r="C50" s="16">
        <v>1</v>
      </c>
      <c r="D50" s="16">
        <v>9</v>
      </c>
      <c r="E50" s="16">
        <v>70</v>
      </c>
    </row>
    <row r="51" spans="1:5" x14ac:dyDescent="0.25">
      <c r="A51" s="6" t="s">
        <v>252</v>
      </c>
      <c r="B51" s="6" t="s">
        <v>260</v>
      </c>
      <c r="C51" s="16">
        <v>1</v>
      </c>
      <c r="D51" s="16">
        <v>48</v>
      </c>
      <c r="E51" s="16">
        <v>66</v>
      </c>
    </row>
    <row r="52" spans="1:5" x14ac:dyDescent="0.25">
      <c r="A52" s="6" t="s">
        <v>261</v>
      </c>
      <c r="B52" s="6" t="s">
        <v>262</v>
      </c>
      <c r="C52" s="16">
        <v>1</v>
      </c>
      <c r="D52" s="16">
        <v>6</v>
      </c>
      <c r="E52" s="16">
        <f>372/6</f>
        <v>62</v>
      </c>
    </row>
    <row r="53" spans="1:5" x14ac:dyDescent="0.25">
      <c r="A53" s="6" t="s">
        <v>261</v>
      </c>
      <c r="B53" s="6" t="s">
        <v>263</v>
      </c>
      <c r="C53" s="16">
        <v>1</v>
      </c>
      <c r="D53" s="16">
        <v>2</v>
      </c>
      <c r="E53" s="16">
        <f>157/2</f>
        <v>78.5</v>
      </c>
    </row>
    <row r="54" spans="1:5" x14ac:dyDescent="0.25">
      <c r="A54" s="6" t="s">
        <v>261</v>
      </c>
      <c r="B54" s="6" t="s">
        <v>264</v>
      </c>
      <c r="C54" s="16">
        <v>1</v>
      </c>
      <c r="D54" s="16">
        <f>12+5+12</f>
        <v>29</v>
      </c>
      <c r="E54" s="16">
        <v>63</v>
      </c>
    </row>
    <row r="55" spans="1:5" x14ac:dyDescent="0.25">
      <c r="A55" s="6" t="s">
        <v>261</v>
      </c>
      <c r="B55" s="6" t="s">
        <v>265</v>
      </c>
      <c r="C55" s="16">
        <v>1</v>
      </c>
      <c r="D55" s="16">
        <v>40</v>
      </c>
      <c r="E55" s="16">
        <v>44.5</v>
      </c>
    </row>
    <row r="56" spans="1:5" x14ac:dyDescent="0.25">
      <c r="A56" s="6" t="s">
        <v>261</v>
      </c>
      <c r="B56" s="6" t="s">
        <v>266</v>
      </c>
      <c r="C56" s="16">
        <v>1</v>
      </c>
      <c r="D56" s="16">
        <f>7+12</f>
        <v>19</v>
      </c>
      <c r="E56" s="16">
        <f>434/7</f>
        <v>62</v>
      </c>
    </row>
    <row r="57" spans="1:5" x14ac:dyDescent="0.25">
      <c r="A57" s="6" t="s">
        <v>267</v>
      </c>
      <c r="B57" s="6" t="s">
        <v>268</v>
      </c>
      <c r="C57" s="16">
        <v>1</v>
      </c>
      <c r="D57" s="16">
        <v>17</v>
      </c>
      <c r="E57" s="16">
        <f>360/6</f>
        <v>60</v>
      </c>
    </row>
    <row r="58" spans="1:5" x14ac:dyDescent="0.25">
      <c r="A58" s="6" t="s">
        <v>267</v>
      </c>
      <c r="B58" s="6" t="s">
        <v>269</v>
      </c>
      <c r="C58" s="16">
        <v>1</v>
      </c>
      <c r="D58" s="16">
        <v>21</v>
      </c>
      <c r="E58" s="16">
        <v>38</v>
      </c>
    </row>
    <row r="59" spans="1:5" x14ac:dyDescent="0.25">
      <c r="A59" s="6" t="s">
        <v>267</v>
      </c>
      <c r="B59" s="6" t="s">
        <v>270</v>
      </c>
      <c r="C59" s="16">
        <v>1</v>
      </c>
      <c r="D59" s="16">
        <f>12+10+9</f>
        <v>31</v>
      </c>
      <c r="E59" s="16">
        <v>60</v>
      </c>
    </row>
    <row r="60" spans="1:5" x14ac:dyDescent="0.25">
      <c r="A60" s="6" t="s">
        <v>267</v>
      </c>
      <c r="B60" s="6" t="s">
        <v>271</v>
      </c>
      <c r="C60" s="16">
        <v>1</v>
      </c>
      <c r="D60" s="16">
        <f>13+10+6</f>
        <v>29</v>
      </c>
      <c r="E60" s="16">
        <v>38</v>
      </c>
    </row>
    <row r="61" spans="1:5" x14ac:dyDescent="0.25">
      <c r="A61" s="6" t="s">
        <v>267</v>
      </c>
      <c r="B61" s="6" t="s">
        <v>272</v>
      </c>
      <c r="C61" s="16">
        <v>1</v>
      </c>
      <c r="D61" s="16">
        <f>8+5+6</f>
        <v>19</v>
      </c>
      <c r="E61" s="16">
        <v>50</v>
      </c>
    </row>
    <row r="62" spans="1:5" x14ac:dyDescent="0.25">
      <c r="A62" s="6" t="s">
        <v>267</v>
      </c>
      <c r="B62" s="6" t="s">
        <v>273</v>
      </c>
      <c r="C62" s="16">
        <v>1</v>
      </c>
      <c r="D62" s="16">
        <f>46+15+27+10</f>
        <v>98</v>
      </c>
      <c r="E62" s="16">
        <v>34</v>
      </c>
    </row>
    <row r="63" spans="1:5" x14ac:dyDescent="0.25">
      <c r="A63" s="6" t="s">
        <v>267</v>
      </c>
      <c r="B63" s="6" t="s">
        <v>274</v>
      </c>
      <c r="C63" s="16">
        <v>1</v>
      </c>
      <c r="D63" s="16">
        <f>9+16+5+20</f>
        <v>50</v>
      </c>
      <c r="E63" s="16">
        <v>60</v>
      </c>
    </row>
    <row r="64" spans="1:5" x14ac:dyDescent="0.25">
      <c r="A64" s="6" t="s">
        <v>267</v>
      </c>
      <c r="B64" s="6" t="s">
        <v>275</v>
      </c>
      <c r="C64" s="16">
        <v>1</v>
      </c>
      <c r="D64" s="16">
        <v>4</v>
      </c>
      <c r="E64" s="16">
        <v>44</v>
      </c>
    </row>
    <row r="65" spans="1:5" x14ac:dyDescent="0.25">
      <c r="A65" s="6" t="s">
        <v>267</v>
      </c>
      <c r="B65" s="6" t="s">
        <v>276</v>
      </c>
      <c r="C65" s="16">
        <v>1</v>
      </c>
      <c r="D65" s="16">
        <f>21+15+15</f>
        <v>51</v>
      </c>
      <c r="E65" s="16">
        <v>55</v>
      </c>
    </row>
    <row r="66" spans="1:5" x14ac:dyDescent="0.25">
      <c r="A66" s="6" t="s">
        <v>267</v>
      </c>
      <c r="B66" s="6" t="s">
        <v>277</v>
      </c>
      <c r="C66" s="16">
        <v>1</v>
      </c>
      <c r="D66" s="16">
        <v>1</v>
      </c>
      <c r="E66" s="16">
        <v>50</v>
      </c>
    </row>
    <row r="67" spans="1:5" x14ac:dyDescent="0.25">
      <c r="A67" s="6" t="s">
        <v>267</v>
      </c>
      <c r="B67" s="6" t="s">
        <v>278</v>
      </c>
      <c r="C67" s="16">
        <v>1</v>
      </c>
      <c r="D67" s="16">
        <f>8+10+3+30</f>
        <v>51</v>
      </c>
      <c r="E67" s="16">
        <f>288/8</f>
        <v>36</v>
      </c>
    </row>
    <row r="68" spans="1:5" x14ac:dyDescent="0.25">
      <c r="A68" s="6" t="s">
        <v>267</v>
      </c>
      <c r="B68" s="6" t="s">
        <v>279</v>
      </c>
      <c r="C68" s="16">
        <v>1</v>
      </c>
      <c r="D68" s="16">
        <f>28+20+15</f>
        <v>63</v>
      </c>
      <c r="E68" s="16">
        <v>40</v>
      </c>
    </row>
    <row r="69" spans="1:5" x14ac:dyDescent="0.25">
      <c r="A69" s="6" t="s">
        <v>267</v>
      </c>
      <c r="B69" s="6" t="s">
        <v>280</v>
      </c>
      <c r="C69" s="16">
        <v>1</v>
      </c>
      <c r="D69" s="16">
        <f>3+3</f>
        <v>6</v>
      </c>
      <c r="E69" s="16">
        <f>162/3</f>
        <v>54</v>
      </c>
    </row>
    <row r="70" spans="1:5" x14ac:dyDescent="0.25">
      <c r="A70" s="6" t="s">
        <v>267</v>
      </c>
      <c r="B70" s="6" t="s">
        <v>281</v>
      </c>
      <c r="C70" s="16">
        <v>1</v>
      </c>
      <c r="D70" s="16">
        <f>20+5+9</f>
        <v>34</v>
      </c>
      <c r="E70" s="16">
        <v>35</v>
      </c>
    </row>
    <row r="71" spans="1:5" x14ac:dyDescent="0.25">
      <c r="A71" s="6" t="s">
        <v>267</v>
      </c>
      <c r="B71" s="6" t="s">
        <v>282</v>
      </c>
      <c r="C71" s="16">
        <v>1</v>
      </c>
      <c r="D71" s="16">
        <v>46</v>
      </c>
      <c r="E71" s="16">
        <v>90</v>
      </c>
    </row>
    <row r="72" spans="1:5" x14ac:dyDescent="0.25">
      <c r="A72" s="6" t="s">
        <v>267</v>
      </c>
      <c r="B72" s="6" t="s">
        <v>286</v>
      </c>
      <c r="C72" s="16">
        <v>1</v>
      </c>
      <c r="D72" s="16">
        <v>75</v>
      </c>
      <c r="E72" s="16">
        <v>50</v>
      </c>
    </row>
    <row r="73" spans="1:5" x14ac:dyDescent="0.25">
      <c r="A73" s="6" t="s">
        <v>267</v>
      </c>
      <c r="B73" s="6" t="s">
        <v>287</v>
      </c>
      <c r="C73" s="16">
        <v>1</v>
      </c>
      <c r="D73" s="16">
        <f>38+15+10</f>
        <v>63</v>
      </c>
      <c r="E73" s="16">
        <v>42</v>
      </c>
    </row>
    <row r="74" spans="1:5" x14ac:dyDescent="0.25">
      <c r="A74" s="6" t="s">
        <v>267</v>
      </c>
      <c r="B74" s="6" t="s">
        <v>288</v>
      </c>
      <c r="C74" s="16">
        <v>1</v>
      </c>
      <c r="D74" s="16">
        <f>26+10+21</f>
        <v>57</v>
      </c>
      <c r="E74" s="16">
        <v>50</v>
      </c>
    </row>
    <row r="75" spans="1:5" x14ac:dyDescent="0.25">
      <c r="A75" s="6" t="s">
        <v>267</v>
      </c>
      <c r="B75" s="6" t="s">
        <v>283</v>
      </c>
      <c r="C75" s="16">
        <v>1</v>
      </c>
      <c r="D75" s="16">
        <f>9+3+10</f>
        <v>22</v>
      </c>
      <c r="E75" s="16">
        <v>84</v>
      </c>
    </row>
    <row r="76" spans="1:5" x14ac:dyDescent="0.25">
      <c r="A76" s="6" t="s">
        <v>267</v>
      </c>
      <c r="B76" s="6" t="s">
        <v>284</v>
      </c>
      <c r="C76" s="16">
        <v>1</v>
      </c>
      <c r="D76" s="16">
        <v>8</v>
      </c>
      <c r="E76" s="16">
        <f>240/5</f>
        <v>48</v>
      </c>
    </row>
    <row r="77" spans="1:5" x14ac:dyDescent="0.25">
      <c r="A77" s="6" t="s">
        <v>267</v>
      </c>
      <c r="B77" s="6" t="s">
        <v>285</v>
      </c>
      <c r="C77" s="16">
        <v>1</v>
      </c>
      <c r="D77" s="16">
        <f>5+24+20</f>
        <v>49</v>
      </c>
      <c r="E77" s="16">
        <f>280/5</f>
        <v>56</v>
      </c>
    </row>
    <row r="78" spans="1:5" x14ac:dyDescent="0.25">
      <c r="A78" s="6" t="s">
        <v>267</v>
      </c>
      <c r="B78" s="6" t="s">
        <v>289</v>
      </c>
      <c r="C78" s="16">
        <v>1</v>
      </c>
      <c r="D78" s="16">
        <v>5</v>
      </c>
      <c r="E78" s="16">
        <f>310/5</f>
        <v>62</v>
      </c>
    </row>
    <row r="79" spans="1:5" x14ac:dyDescent="0.25">
      <c r="A79" s="6" t="s">
        <v>267</v>
      </c>
      <c r="B79" s="6" t="s">
        <v>290</v>
      </c>
      <c r="C79" s="16">
        <v>1</v>
      </c>
      <c r="D79" s="16">
        <v>83</v>
      </c>
      <c r="E79" s="16">
        <v>52</v>
      </c>
    </row>
    <row r="80" spans="1:5" x14ac:dyDescent="0.25">
      <c r="A80" s="6" t="s">
        <v>267</v>
      </c>
      <c r="B80" s="6" t="s">
        <v>291</v>
      </c>
      <c r="C80" s="16">
        <v>1</v>
      </c>
      <c r="D80" s="16">
        <f>9+5+15+10</f>
        <v>39</v>
      </c>
      <c r="E80" s="16">
        <v>58</v>
      </c>
    </row>
    <row r="81" spans="1:5" x14ac:dyDescent="0.25">
      <c r="A81" s="6" t="s">
        <v>267</v>
      </c>
      <c r="B81" s="6" t="s">
        <v>292</v>
      </c>
      <c r="C81" s="16">
        <v>1</v>
      </c>
      <c r="D81" s="16">
        <f>38+20+9</f>
        <v>67</v>
      </c>
      <c r="E81" s="16">
        <f>840/20</f>
        <v>42</v>
      </c>
    </row>
    <row r="82" spans="1:5" x14ac:dyDescent="0.25">
      <c r="A82" s="6" t="s">
        <v>267</v>
      </c>
      <c r="B82" s="6" t="s">
        <v>293</v>
      </c>
      <c r="C82" s="16">
        <v>1</v>
      </c>
      <c r="D82" s="16">
        <v>34</v>
      </c>
      <c r="E82" s="16">
        <v>61</v>
      </c>
    </row>
    <row r="83" spans="1:5" x14ac:dyDescent="0.25">
      <c r="A83" s="6" t="s">
        <v>267</v>
      </c>
      <c r="B83" s="6" t="s">
        <v>294</v>
      </c>
      <c r="C83" s="16">
        <v>1</v>
      </c>
      <c r="D83" s="16">
        <v>10</v>
      </c>
      <c r="E83" s="16">
        <f>392/7</f>
        <v>56</v>
      </c>
    </row>
    <row r="84" spans="1:5" x14ac:dyDescent="0.25">
      <c r="A84" s="6" t="s">
        <v>267</v>
      </c>
      <c r="B84" s="6" t="s">
        <v>295</v>
      </c>
      <c r="C84" s="16">
        <v>1</v>
      </c>
      <c r="D84" s="16">
        <v>10</v>
      </c>
      <c r="E84" s="16">
        <f>330/5</f>
        <v>66</v>
      </c>
    </row>
    <row r="85" spans="1:5" x14ac:dyDescent="0.25">
      <c r="A85" s="6" t="s">
        <v>267</v>
      </c>
      <c r="B85" s="6" t="s">
        <v>296</v>
      </c>
      <c r="C85" s="16">
        <v>1</v>
      </c>
      <c r="D85" s="16">
        <v>7</v>
      </c>
      <c r="E85" s="16">
        <v>50</v>
      </c>
    </row>
    <row r="86" spans="1:5" x14ac:dyDescent="0.25">
      <c r="A86" s="6" t="s">
        <v>267</v>
      </c>
      <c r="B86" s="6" t="s">
        <v>297</v>
      </c>
      <c r="C86" s="16">
        <v>1</v>
      </c>
      <c r="D86" s="16">
        <f>33+5+9</f>
        <v>47</v>
      </c>
      <c r="E86" s="16">
        <v>40</v>
      </c>
    </row>
    <row r="87" spans="1:5" x14ac:dyDescent="0.25">
      <c r="A87" s="6" t="s">
        <v>267</v>
      </c>
      <c r="B87" s="6" t="s">
        <v>298</v>
      </c>
      <c r="C87" s="16">
        <v>1</v>
      </c>
      <c r="D87" s="16">
        <f>33+5+3</f>
        <v>41</v>
      </c>
      <c r="E87" s="16">
        <v>40</v>
      </c>
    </row>
    <row r="88" spans="1:5" x14ac:dyDescent="0.25">
      <c r="A88" s="6" t="s">
        <v>267</v>
      </c>
      <c r="B88" s="6" t="s">
        <v>299</v>
      </c>
      <c r="C88" s="16">
        <v>1</v>
      </c>
      <c r="D88" s="16">
        <f>26+12</f>
        <v>38</v>
      </c>
      <c r="E88" s="16">
        <v>51</v>
      </c>
    </row>
    <row r="89" spans="1:5" x14ac:dyDescent="0.25">
      <c r="A89" s="6" t="s">
        <v>267</v>
      </c>
      <c r="B89" s="6" t="s">
        <v>300</v>
      </c>
      <c r="C89" s="16">
        <v>1</v>
      </c>
      <c r="D89" s="16">
        <f>39+30+15</f>
        <v>84</v>
      </c>
      <c r="E89" s="16">
        <v>36</v>
      </c>
    </row>
    <row r="90" spans="1:5" x14ac:dyDescent="0.25">
      <c r="A90" s="6" t="s">
        <v>267</v>
      </c>
      <c r="B90" s="6" t="s">
        <v>301</v>
      </c>
      <c r="C90" s="16">
        <v>1</v>
      </c>
      <c r="D90" s="16">
        <v>31</v>
      </c>
      <c r="E90" s="16">
        <v>51</v>
      </c>
    </row>
    <row r="91" spans="1:5" x14ac:dyDescent="0.25">
      <c r="A91" s="6" t="s">
        <v>267</v>
      </c>
      <c r="B91" s="6" t="s">
        <v>302</v>
      </c>
      <c r="C91" s="16">
        <v>1</v>
      </c>
      <c r="D91" s="16">
        <f>39+10+24+10</f>
        <v>83</v>
      </c>
      <c r="E91" s="16">
        <v>36</v>
      </c>
    </row>
    <row r="92" spans="1:5" x14ac:dyDescent="0.25">
      <c r="A92" s="6" t="s">
        <v>267</v>
      </c>
      <c r="B92" s="6" t="s">
        <v>303</v>
      </c>
      <c r="C92" s="16">
        <v>1</v>
      </c>
      <c r="D92" s="16">
        <f>10+5+3</f>
        <v>18</v>
      </c>
      <c r="E92" s="16">
        <v>51</v>
      </c>
    </row>
    <row r="93" spans="1:5" x14ac:dyDescent="0.25">
      <c r="A93" s="6" t="s">
        <v>267</v>
      </c>
      <c r="B93" s="6" t="s">
        <v>304</v>
      </c>
      <c r="C93" s="16">
        <v>1</v>
      </c>
      <c r="D93" s="16">
        <f>43+20+27</f>
        <v>90</v>
      </c>
      <c r="E93" s="16">
        <v>36</v>
      </c>
    </row>
    <row r="94" spans="1:5" x14ac:dyDescent="0.25">
      <c r="A94" s="6" t="s">
        <v>267</v>
      </c>
      <c r="B94" s="6" t="s">
        <v>305</v>
      </c>
      <c r="C94" s="16">
        <v>1</v>
      </c>
      <c r="D94" s="16">
        <f>17+9</f>
        <v>26</v>
      </c>
      <c r="E94" s="16">
        <v>50</v>
      </c>
    </row>
    <row r="95" spans="1:5" x14ac:dyDescent="0.25">
      <c r="A95" s="6" t="s">
        <v>267</v>
      </c>
      <c r="B95" s="6" t="s">
        <v>306</v>
      </c>
      <c r="C95" s="16">
        <v>1</v>
      </c>
      <c r="D95" s="16">
        <v>14</v>
      </c>
      <c r="E95" s="16">
        <v>50</v>
      </c>
    </row>
    <row r="96" spans="1:5" x14ac:dyDescent="0.25">
      <c r="A96" s="6" t="s">
        <v>267</v>
      </c>
      <c r="B96" s="6" t="s">
        <v>307</v>
      </c>
      <c r="C96" s="16">
        <v>1</v>
      </c>
      <c r="D96" s="16">
        <v>12</v>
      </c>
      <c r="E96" s="16">
        <f>354/3</f>
        <v>118</v>
      </c>
    </row>
    <row r="97" spans="1:5" x14ac:dyDescent="0.25">
      <c r="A97" s="6" t="s">
        <v>267</v>
      </c>
      <c r="B97" s="6" t="s">
        <v>308</v>
      </c>
      <c r="C97" s="16">
        <v>1</v>
      </c>
      <c r="D97" s="16">
        <v>19</v>
      </c>
      <c r="E97" s="16">
        <f>550/11</f>
        <v>50</v>
      </c>
    </row>
    <row r="98" spans="1:5" x14ac:dyDescent="0.25">
      <c r="A98" s="6" t="s">
        <v>309</v>
      </c>
      <c r="B98" s="6" t="s">
        <v>310</v>
      </c>
      <c r="C98" s="16">
        <v>1</v>
      </c>
      <c r="D98" s="16">
        <v>2</v>
      </c>
      <c r="E98" s="16">
        <v>40</v>
      </c>
    </row>
    <row r="99" spans="1:5" x14ac:dyDescent="0.25">
      <c r="A99" s="6" t="s">
        <v>309</v>
      </c>
      <c r="B99" s="6" t="s">
        <v>311</v>
      </c>
      <c r="C99" s="16">
        <v>1</v>
      </c>
      <c r="D99" s="16">
        <v>14</v>
      </c>
      <c r="E99" s="16">
        <f>270/6</f>
        <v>45</v>
      </c>
    </row>
    <row r="100" spans="1:5" x14ac:dyDescent="0.25">
      <c r="A100" s="6" t="s">
        <v>312</v>
      </c>
      <c r="B100" s="6" t="s">
        <v>313</v>
      </c>
      <c r="C100" s="16">
        <v>1</v>
      </c>
      <c r="D100" s="16">
        <v>28</v>
      </c>
      <c r="E100" s="16">
        <v>42</v>
      </c>
    </row>
    <row r="101" spans="1:5" x14ac:dyDescent="0.25">
      <c r="A101" s="6" t="s">
        <v>312</v>
      </c>
      <c r="B101" s="6" t="s">
        <v>314</v>
      </c>
      <c r="C101" s="16">
        <v>1</v>
      </c>
      <c r="D101" s="16">
        <v>39</v>
      </c>
      <c r="E101" s="16">
        <f>1100/20</f>
        <v>55</v>
      </c>
    </row>
    <row r="102" spans="1:5" x14ac:dyDescent="0.25">
      <c r="A102" s="6" t="s">
        <v>312</v>
      </c>
      <c r="B102" s="6" t="s">
        <v>315</v>
      </c>
      <c r="C102" s="16">
        <v>1</v>
      </c>
      <c r="D102" s="16">
        <v>21</v>
      </c>
      <c r="E102" s="16">
        <v>56</v>
      </c>
    </row>
    <row r="103" spans="1:5" x14ac:dyDescent="0.25">
      <c r="A103" s="6" t="s">
        <v>312</v>
      </c>
      <c r="B103" s="6" t="s">
        <v>316</v>
      </c>
      <c r="C103" s="16">
        <v>1</v>
      </c>
      <c r="D103" s="16">
        <v>85</v>
      </c>
      <c r="E103" s="16">
        <v>44.5</v>
      </c>
    </row>
    <row r="104" spans="1:5" x14ac:dyDescent="0.25">
      <c r="A104" s="6" t="s">
        <v>312</v>
      </c>
      <c r="B104" s="6" t="s">
        <v>317</v>
      </c>
      <c r="C104" s="16">
        <v>1</v>
      </c>
      <c r="D104" s="16">
        <v>9</v>
      </c>
      <c r="E104" s="16">
        <v>55</v>
      </c>
    </row>
    <row r="105" spans="1:5" x14ac:dyDescent="0.25">
      <c r="A105" s="6" t="s">
        <v>312</v>
      </c>
      <c r="B105" s="6" t="s">
        <v>318</v>
      </c>
      <c r="C105" s="16">
        <v>1</v>
      </c>
      <c r="D105" s="16">
        <v>20</v>
      </c>
      <c r="E105" s="16">
        <v>55</v>
      </c>
    </row>
    <row r="106" spans="1:5" x14ac:dyDescent="0.25">
      <c r="A106" s="6" t="s">
        <v>312</v>
      </c>
      <c r="B106" s="6" t="s">
        <v>319</v>
      </c>
      <c r="C106" s="16">
        <v>1</v>
      </c>
      <c r="D106" s="16">
        <v>16</v>
      </c>
      <c r="E106" s="16">
        <v>50</v>
      </c>
    </row>
    <row r="107" spans="1:5" x14ac:dyDescent="0.25">
      <c r="A107" s="6" t="s">
        <v>312</v>
      </c>
      <c r="B107" s="6" t="s">
        <v>320</v>
      </c>
      <c r="C107" s="16">
        <v>1</v>
      </c>
      <c r="D107" s="16">
        <v>21</v>
      </c>
      <c r="E107" s="16">
        <f>585/9</f>
        <v>65</v>
      </c>
    </row>
    <row r="108" spans="1:5" x14ac:dyDescent="0.25">
      <c r="A108" s="6" t="s">
        <v>312</v>
      </c>
      <c r="B108" s="6" t="s">
        <v>321</v>
      </c>
      <c r="C108" s="16">
        <v>1</v>
      </c>
      <c r="D108" s="16">
        <v>23</v>
      </c>
      <c r="E108" s="16">
        <v>46</v>
      </c>
    </row>
    <row r="109" spans="1:5" x14ac:dyDescent="0.25">
      <c r="A109" s="6" t="s">
        <v>312</v>
      </c>
      <c r="B109" s="6" t="s">
        <v>322</v>
      </c>
      <c r="C109" s="16">
        <v>1</v>
      </c>
      <c r="D109" s="16">
        <v>34</v>
      </c>
      <c r="E109" s="16">
        <v>57</v>
      </c>
    </row>
    <row r="110" spans="1:5" x14ac:dyDescent="0.25">
      <c r="A110" s="6" t="s">
        <v>312</v>
      </c>
      <c r="B110" s="6" t="s">
        <v>323</v>
      </c>
      <c r="C110" s="16">
        <v>1</v>
      </c>
      <c r="D110" s="16">
        <v>17</v>
      </c>
      <c r="E110" s="16">
        <f>599.5/11</f>
        <v>54.5</v>
      </c>
    </row>
    <row r="111" spans="1:5" x14ac:dyDescent="0.25">
      <c r="A111" s="6" t="s">
        <v>312</v>
      </c>
      <c r="B111" s="6" t="s">
        <v>324</v>
      </c>
      <c r="C111" s="16">
        <v>1</v>
      </c>
      <c r="D111" s="16">
        <v>19</v>
      </c>
      <c r="E111" s="16">
        <v>44.5</v>
      </c>
    </row>
    <row r="112" spans="1:5" x14ac:dyDescent="0.25">
      <c r="A112" s="6" t="s">
        <v>312</v>
      </c>
      <c r="B112" s="6" t="s">
        <v>325</v>
      </c>
      <c r="C112" s="16">
        <v>1</v>
      </c>
      <c r="D112" s="16">
        <v>21</v>
      </c>
      <c r="E112" s="16">
        <f>230/5</f>
        <v>46</v>
      </c>
    </row>
    <row r="113" spans="1:5" x14ac:dyDescent="0.25">
      <c r="A113" s="6" t="s">
        <v>312</v>
      </c>
      <c r="B113" s="6" t="s">
        <v>326</v>
      </c>
      <c r="C113" s="16">
        <v>1</v>
      </c>
      <c r="D113" s="16">
        <v>2</v>
      </c>
      <c r="E113" s="16">
        <f>112/2</f>
        <v>56</v>
      </c>
    </row>
    <row r="114" spans="1:5" x14ac:dyDescent="0.25">
      <c r="A114" s="6" t="s">
        <v>186</v>
      </c>
      <c r="B114" s="6" t="s">
        <v>327</v>
      </c>
      <c r="C114" s="16">
        <v>1</v>
      </c>
      <c r="D114" s="16">
        <f>45+20+42</f>
        <v>107</v>
      </c>
      <c r="E114" s="16">
        <v>40</v>
      </c>
    </row>
    <row r="115" spans="1:5" x14ac:dyDescent="0.25">
      <c r="A115" s="6" t="s">
        <v>186</v>
      </c>
      <c r="B115" s="6" t="s">
        <v>328</v>
      </c>
      <c r="C115" s="16">
        <v>1</v>
      </c>
      <c r="D115" s="16">
        <f>9+5+6</f>
        <v>20</v>
      </c>
      <c r="E115" s="16">
        <v>40</v>
      </c>
    </row>
    <row r="116" spans="1:5" x14ac:dyDescent="0.25">
      <c r="A116" s="6" t="s">
        <v>186</v>
      </c>
      <c r="B116" s="6" t="s">
        <v>329</v>
      </c>
      <c r="C116" s="16">
        <v>1</v>
      </c>
      <c r="D116" s="16">
        <f>2+24+5+9</f>
        <v>40</v>
      </c>
      <c r="E116" s="16">
        <v>40</v>
      </c>
    </row>
    <row r="117" spans="1:5" x14ac:dyDescent="0.25">
      <c r="A117" s="6" t="s">
        <v>186</v>
      </c>
      <c r="B117" s="6" t="s">
        <v>330</v>
      </c>
      <c r="C117" s="16">
        <v>1</v>
      </c>
      <c r="D117" s="16">
        <v>40</v>
      </c>
      <c r="E117" s="16">
        <v>44</v>
      </c>
    </row>
    <row r="118" spans="1:5" x14ac:dyDescent="0.25">
      <c r="A118" s="6" t="s">
        <v>186</v>
      </c>
      <c r="B118" s="6" t="s">
        <v>331</v>
      </c>
      <c r="C118" s="16">
        <v>1</v>
      </c>
      <c r="D118" s="16">
        <v>50</v>
      </c>
      <c r="E118" s="16">
        <v>44</v>
      </c>
    </row>
    <row r="119" spans="1:5" x14ac:dyDescent="0.25">
      <c r="A119" s="6" t="s">
        <v>186</v>
      </c>
      <c r="B119" s="6" t="s">
        <v>332</v>
      </c>
      <c r="C119" s="16">
        <v>1</v>
      </c>
      <c r="D119" s="16">
        <v>25</v>
      </c>
      <c r="E119" s="16">
        <v>44</v>
      </c>
    </row>
    <row r="120" spans="1:5" x14ac:dyDescent="0.25">
      <c r="A120" s="6" t="s">
        <v>186</v>
      </c>
      <c r="B120" s="6" t="s">
        <v>333</v>
      </c>
      <c r="C120" s="16">
        <v>1</v>
      </c>
      <c r="D120" s="16">
        <v>100</v>
      </c>
      <c r="E120" s="16">
        <v>70</v>
      </c>
    </row>
    <row r="121" spans="1:5" x14ac:dyDescent="0.25">
      <c r="A121" s="6" t="s">
        <v>186</v>
      </c>
      <c r="B121" s="6" t="s">
        <v>334</v>
      </c>
      <c r="C121" s="16">
        <v>1</v>
      </c>
      <c r="D121" s="16">
        <v>50</v>
      </c>
      <c r="E121" s="16">
        <f>1300/25</f>
        <v>52</v>
      </c>
    </row>
    <row r="122" spans="1:5" x14ac:dyDescent="0.25">
      <c r="A122" s="6" t="s">
        <v>186</v>
      </c>
      <c r="B122" s="6" t="s">
        <v>335</v>
      </c>
      <c r="C122" s="16">
        <v>1</v>
      </c>
      <c r="D122" s="16">
        <v>77</v>
      </c>
      <c r="E122" s="16">
        <v>42</v>
      </c>
    </row>
    <row r="123" spans="1:5" x14ac:dyDescent="0.25">
      <c r="A123" s="6" t="s">
        <v>336</v>
      </c>
      <c r="B123" s="6" t="s">
        <v>337</v>
      </c>
      <c r="C123" s="16">
        <v>1</v>
      </c>
      <c r="D123" s="16">
        <f>41+10+24+10</f>
        <v>85</v>
      </c>
      <c r="E123" s="16">
        <v>40</v>
      </c>
    </row>
    <row r="124" spans="1:5" x14ac:dyDescent="0.25">
      <c r="A124" s="6" t="s">
        <v>336</v>
      </c>
      <c r="B124" s="6" t="s">
        <v>338</v>
      </c>
      <c r="C124" s="16">
        <v>1</v>
      </c>
      <c r="D124" s="16">
        <v>22</v>
      </c>
      <c r="E124" s="16">
        <v>62</v>
      </c>
    </row>
    <row r="125" spans="1:5" x14ac:dyDescent="0.25">
      <c r="A125" s="6" t="s">
        <v>336</v>
      </c>
      <c r="B125" s="6" t="s">
        <v>339</v>
      </c>
      <c r="C125" s="16">
        <v>1</v>
      </c>
      <c r="D125" s="16">
        <v>30</v>
      </c>
      <c r="E125" s="16">
        <v>72</v>
      </c>
    </row>
    <row r="126" spans="1:5" x14ac:dyDescent="0.25">
      <c r="A126" s="6" t="s">
        <v>336</v>
      </c>
      <c r="B126" s="6" t="s">
        <v>340</v>
      </c>
      <c r="C126" s="16">
        <v>1</v>
      </c>
      <c r="D126" s="16">
        <v>23</v>
      </c>
      <c r="E126" s="16">
        <v>58</v>
      </c>
    </row>
    <row r="127" spans="1:5" x14ac:dyDescent="0.25">
      <c r="A127" s="6" t="s">
        <v>336</v>
      </c>
      <c r="B127" s="6" t="s">
        <v>341</v>
      </c>
      <c r="C127" s="16">
        <v>1</v>
      </c>
      <c r="D127" s="16">
        <f>3+25+10+3</f>
        <v>41</v>
      </c>
      <c r="E127" s="16">
        <v>69</v>
      </c>
    </row>
    <row r="128" spans="1:5" x14ac:dyDescent="0.25">
      <c r="A128" s="6" t="s">
        <v>336</v>
      </c>
      <c r="B128" s="6" t="s">
        <v>342</v>
      </c>
      <c r="C128" s="16">
        <v>1</v>
      </c>
      <c r="D128" s="16">
        <v>3</v>
      </c>
      <c r="E128" s="16">
        <f>186/3</f>
        <v>62</v>
      </c>
    </row>
    <row r="129" spans="1:5" x14ac:dyDescent="0.25">
      <c r="A129" s="6" t="s">
        <v>336</v>
      </c>
      <c r="B129" s="6" t="s">
        <v>343</v>
      </c>
      <c r="C129" s="16">
        <v>1</v>
      </c>
      <c r="D129" s="16">
        <v>17</v>
      </c>
      <c r="E129" s="16">
        <f>144/2</f>
        <v>72</v>
      </c>
    </row>
    <row r="130" spans="1:5" x14ac:dyDescent="0.25">
      <c r="A130" s="6" t="s">
        <v>336</v>
      </c>
      <c r="B130" s="6" t="s">
        <v>344</v>
      </c>
      <c r="C130" s="16">
        <v>1</v>
      </c>
      <c r="D130" s="16">
        <v>36</v>
      </c>
      <c r="E130" s="16">
        <f>1950/25</f>
        <v>78</v>
      </c>
    </row>
    <row r="131" spans="1:5" x14ac:dyDescent="0.25">
      <c r="A131" s="6" t="s">
        <v>336</v>
      </c>
      <c r="B131" s="6" t="s">
        <v>345</v>
      </c>
      <c r="C131" s="16">
        <v>1</v>
      </c>
      <c r="D131" s="16">
        <v>13</v>
      </c>
      <c r="E131" s="16">
        <f>210/3</f>
        <v>70</v>
      </c>
    </row>
    <row r="132" spans="1:5" x14ac:dyDescent="0.25">
      <c r="A132" s="6" t="s">
        <v>336</v>
      </c>
      <c r="B132" s="6" t="s">
        <v>346</v>
      </c>
      <c r="C132" s="16">
        <v>1</v>
      </c>
      <c r="D132" s="16">
        <v>39</v>
      </c>
      <c r="E132" s="16">
        <f>1750/25</f>
        <v>70</v>
      </c>
    </row>
    <row r="133" spans="1:5" x14ac:dyDescent="0.25">
      <c r="A133" s="6" t="s">
        <v>336</v>
      </c>
      <c r="B133" s="6" t="s">
        <v>347</v>
      </c>
      <c r="C133" s="16">
        <v>1</v>
      </c>
      <c r="D133" s="16">
        <v>20</v>
      </c>
      <c r="E133" s="16">
        <v>80</v>
      </c>
    </row>
    <row r="134" spans="1:5" x14ac:dyDescent="0.25">
      <c r="A134" s="6" t="s">
        <v>336</v>
      </c>
      <c r="B134" s="6" t="s">
        <v>348</v>
      </c>
      <c r="C134" s="16">
        <v>1</v>
      </c>
      <c r="D134" s="16">
        <v>20</v>
      </c>
      <c r="E134" s="16">
        <f>1440/20</f>
        <v>72</v>
      </c>
    </row>
    <row r="135" spans="1:5" x14ac:dyDescent="0.25">
      <c r="A135" s="6" t="s">
        <v>349</v>
      </c>
      <c r="B135" s="6" t="s">
        <v>350</v>
      </c>
      <c r="C135" s="16">
        <v>1</v>
      </c>
      <c r="D135" s="16">
        <v>3</v>
      </c>
      <c r="E135" s="16">
        <v>77</v>
      </c>
    </row>
    <row r="136" spans="1:5" x14ac:dyDescent="0.25">
      <c r="A136" s="6" t="s">
        <v>349</v>
      </c>
      <c r="B136" s="6" t="s">
        <v>351</v>
      </c>
      <c r="C136" s="16">
        <v>1</v>
      </c>
      <c r="D136" s="16">
        <v>5</v>
      </c>
      <c r="E136" s="16">
        <v>110</v>
      </c>
    </row>
    <row r="137" spans="1:5" x14ac:dyDescent="0.25">
      <c r="A137" s="6" t="s">
        <v>349</v>
      </c>
      <c r="B137" s="6" t="s">
        <v>353</v>
      </c>
      <c r="C137" s="16">
        <v>1</v>
      </c>
      <c r="D137" s="16">
        <v>10</v>
      </c>
      <c r="E137" s="16">
        <v>168</v>
      </c>
    </row>
    <row r="138" spans="1:5" x14ac:dyDescent="0.25">
      <c r="A138" s="6" t="s">
        <v>349</v>
      </c>
      <c r="B138" s="6" t="s">
        <v>352</v>
      </c>
      <c r="C138" s="16">
        <v>1</v>
      </c>
      <c r="D138" s="16">
        <v>18</v>
      </c>
      <c r="E138" s="16">
        <v>79</v>
      </c>
    </row>
    <row r="139" spans="1:5" x14ac:dyDescent="0.25">
      <c r="A139" s="6" t="s">
        <v>349</v>
      </c>
      <c r="B139" s="6" t="s">
        <v>354</v>
      </c>
      <c r="C139" s="16">
        <v>1</v>
      </c>
      <c r="D139" s="16">
        <v>18</v>
      </c>
      <c r="E139" s="16">
        <f>390/3</f>
        <v>130</v>
      </c>
    </row>
    <row r="140" spans="1:5" x14ac:dyDescent="0.25">
      <c r="A140" s="6" t="s">
        <v>355</v>
      </c>
      <c r="B140" s="6" t="s">
        <v>357</v>
      </c>
      <c r="C140" s="16">
        <v>1</v>
      </c>
      <c r="D140" s="16">
        <v>19</v>
      </c>
      <c r="E140" s="16">
        <f>300/6</f>
        <v>50</v>
      </c>
    </row>
    <row r="141" spans="1:5" x14ac:dyDescent="0.25">
      <c r="A141" s="6" t="s">
        <v>355</v>
      </c>
      <c r="B141" s="6" t="s">
        <v>358</v>
      </c>
      <c r="C141" s="16">
        <v>1</v>
      </c>
      <c r="D141" s="16">
        <v>22</v>
      </c>
      <c r="E141" s="16">
        <f>348/6</f>
        <v>58</v>
      </c>
    </row>
    <row r="142" spans="1:5" x14ac:dyDescent="0.25">
      <c r="A142" s="6" t="s">
        <v>356</v>
      </c>
      <c r="B142" s="6" t="s">
        <v>359</v>
      </c>
      <c r="C142" s="16">
        <v>1</v>
      </c>
      <c r="D142" s="16">
        <v>64</v>
      </c>
      <c r="E142" s="16">
        <v>68</v>
      </c>
    </row>
    <row r="143" spans="1:5" x14ac:dyDescent="0.25">
      <c r="A143" s="6" t="s">
        <v>360</v>
      </c>
      <c r="B143" s="6" t="s">
        <v>361</v>
      </c>
      <c r="C143" s="16">
        <v>1</v>
      </c>
      <c r="D143" s="16">
        <v>21</v>
      </c>
      <c r="E143" s="16">
        <v>55</v>
      </c>
    </row>
    <row r="144" spans="1:5" x14ac:dyDescent="0.25">
      <c r="A144" s="6" t="s">
        <v>362</v>
      </c>
      <c r="B144" s="6" t="s">
        <v>363</v>
      </c>
      <c r="C144" s="16">
        <v>1</v>
      </c>
      <c r="D144" s="16">
        <v>15</v>
      </c>
      <c r="E144" s="16">
        <f>600/15</f>
        <v>40</v>
      </c>
    </row>
    <row r="145" spans="1:5" x14ac:dyDescent="0.25">
      <c r="A145" s="6" t="s">
        <v>364</v>
      </c>
      <c r="B145" s="6" t="s">
        <v>365</v>
      </c>
      <c r="C145" s="16">
        <v>1</v>
      </c>
      <c r="D145" s="16">
        <f>33+12</f>
        <v>45</v>
      </c>
      <c r="E145" s="16">
        <f>480/12</f>
        <v>40</v>
      </c>
    </row>
    <row r="146" spans="1:5" x14ac:dyDescent="0.25">
      <c r="A146" s="6" t="s">
        <v>366</v>
      </c>
      <c r="B146" s="6" t="s">
        <v>367</v>
      </c>
      <c r="C146" s="16">
        <v>1</v>
      </c>
      <c r="D146" s="16">
        <v>178</v>
      </c>
      <c r="E146" s="16">
        <f>204/3</f>
        <v>68</v>
      </c>
    </row>
    <row r="147" spans="1:5" x14ac:dyDescent="0.25">
      <c r="A147" s="6" t="s">
        <v>366</v>
      </c>
      <c r="B147" s="6" t="s">
        <v>368</v>
      </c>
      <c r="C147" s="16">
        <v>1</v>
      </c>
      <c r="D147" s="16">
        <v>22</v>
      </c>
      <c r="E147" s="16">
        <f>702/13</f>
        <v>54</v>
      </c>
    </row>
    <row r="148" spans="1:5" x14ac:dyDescent="0.25">
      <c r="A148" s="6" t="s">
        <v>366</v>
      </c>
      <c r="B148" s="6" t="s">
        <v>369</v>
      </c>
      <c r="C148" s="16">
        <v>1</v>
      </c>
      <c r="D148" s="16">
        <v>47</v>
      </c>
      <c r="E148" s="16">
        <v>52</v>
      </c>
    </row>
    <row r="149" spans="1:5" x14ac:dyDescent="0.25">
      <c r="A149" s="6" t="s">
        <v>366</v>
      </c>
      <c r="B149" s="6" t="s">
        <v>370</v>
      </c>
      <c r="C149" s="16">
        <v>1</v>
      </c>
      <c r="D149" s="16">
        <f>48+31</f>
        <v>79</v>
      </c>
      <c r="E149" s="16">
        <v>60</v>
      </c>
    </row>
    <row r="150" spans="1:5" x14ac:dyDescent="0.25">
      <c r="A150" s="6" t="s">
        <v>366</v>
      </c>
      <c r="B150" s="6" t="s">
        <v>371</v>
      </c>
      <c r="C150" s="16">
        <v>1</v>
      </c>
      <c r="D150" s="16">
        <v>15</v>
      </c>
      <c r="E150" s="16">
        <f>252/4</f>
        <v>63</v>
      </c>
    </row>
    <row r="151" spans="1:5" x14ac:dyDescent="0.25">
      <c r="A151" s="6" t="s">
        <v>366</v>
      </c>
      <c r="B151" s="6" t="s">
        <v>372</v>
      </c>
      <c r="C151" s="16">
        <v>1</v>
      </c>
      <c r="D151" s="16">
        <v>17</v>
      </c>
      <c r="E151" s="16">
        <v>46</v>
      </c>
    </row>
    <row r="152" spans="1:5" x14ac:dyDescent="0.25">
      <c r="A152" s="6" t="s">
        <v>366</v>
      </c>
      <c r="B152" s="6" t="s">
        <v>373</v>
      </c>
      <c r="C152" s="16">
        <v>1</v>
      </c>
      <c r="D152" s="16">
        <v>18</v>
      </c>
      <c r="E152" s="16">
        <f>540/18</f>
        <v>30</v>
      </c>
    </row>
    <row r="153" spans="1:5" x14ac:dyDescent="0.25">
      <c r="A153" s="6" t="s">
        <v>366</v>
      </c>
      <c r="B153" s="6" t="s">
        <v>374</v>
      </c>
      <c r="C153" s="16">
        <v>1</v>
      </c>
      <c r="D153" s="16">
        <v>50</v>
      </c>
      <c r="E153" s="16">
        <f>1550/25</f>
        <v>62</v>
      </c>
    </row>
    <row r="154" spans="1:5" x14ac:dyDescent="0.25">
      <c r="A154" s="6" t="s">
        <v>366</v>
      </c>
      <c r="B154" s="6" t="s">
        <v>375</v>
      </c>
      <c r="C154" s="16">
        <v>1</v>
      </c>
      <c r="D154" s="16">
        <v>19</v>
      </c>
      <c r="E154" s="16">
        <f>832/16</f>
        <v>52</v>
      </c>
    </row>
    <row r="155" spans="1:5" x14ac:dyDescent="0.25">
      <c r="A155" s="6" t="s">
        <v>366</v>
      </c>
      <c r="B155" s="6" t="s">
        <v>376</v>
      </c>
      <c r="C155" s="16">
        <v>1</v>
      </c>
      <c r="D155" s="16">
        <v>1</v>
      </c>
      <c r="E155" s="16">
        <v>90</v>
      </c>
    </row>
    <row r="156" spans="1:5" x14ac:dyDescent="0.25">
      <c r="A156" s="6" t="s">
        <v>377</v>
      </c>
      <c r="B156" s="6" t="s">
        <v>378</v>
      </c>
      <c r="C156" s="16">
        <v>1</v>
      </c>
      <c r="D156" s="16">
        <v>95</v>
      </c>
      <c r="E156" s="16">
        <f>1300/20</f>
        <v>65</v>
      </c>
    </row>
    <row r="157" spans="1:5" x14ac:dyDescent="0.25">
      <c r="A157" s="6" t="s">
        <v>377</v>
      </c>
      <c r="B157" s="6" t="s">
        <v>379</v>
      </c>
      <c r="C157" s="16">
        <v>1</v>
      </c>
      <c r="D157" s="16">
        <v>5</v>
      </c>
      <c r="E157" s="16">
        <f>210/3</f>
        <v>70</v>
      </c>
    </row>
    <row r="158" spans="1:5" x14ac:dyDescent="0.25">
      <c r="A158" s="6" t="s">
        <v>377</v>
      </c>
      <c r="B158" s="6" t="s">
        <v>380</v>
      </c>
      <c r="C158" s="16">
        <v>1</v>
      </c>
      <c r="D158" s="16">
        <v>2</v>
      </c>
      <c r="E158" s="16">
        <v>44</v>
      </c>
    </row>
    <row r="159" spans="1:5" x14ac:dyDescent="0.25">
      <c r="A159" s="6" t="s">
        <v>377</v>
      </c>
      <c r="B159" s="6" t="s">
        <v>381</v>
      </c>
      <c r="C159" s="16">
        <v>1</v>
      </c>
      <c r="D159" s="16">
        <v>21</v>
      </c>
      <c r="E159" s="16">
        <v>44</v>
      </c>
    </row>
    <row r="160" spans="1:5" x14ac:dyDescent="0.25">
      <c r="A160" s="6" t="s">
        <v>382</v>
      </c>
      <c r="B160" s="6" t="s">
        <v>1157</v>
      </c>
      <c r="C160" s="16">
        <v>1</v>
      </c>
      <c r="D160" s="16">
        <v>50</v>
      </c>
      <c r="E160" s="16">
        <v>55</v>
      </c>
    </row>
    <row r="161" spans="1:5" x14ac:dyDescent="0.25">
      <c r="A161" s="6" t="s">
        <v>382</v>
      </c>
      <c r="B161" s="6" t="s">
        <v>383</v>
      </c>
      <c r="C161" s="16">
        <v>1</v>
      </c>
      <c r="D161" s="16">
        <v>2</v>
      </c>
      <c r="E161" s="16">
        <f>124/2</f>
        <v>62</v>
      </c>
    </row>
    <row r="162" spans="1:5" x14ac:dyDescent="0.25">
      <c r="A162" s="6" t="s">
        <v>382</v>
      </c>
      <c r="B162" s="6" t="s">
        <v>384</v>
      </c>
      <c r="C162" s="16">
        <v>1</v>
      </c>
      <c r="D162" s="16">
        <v>3</v>
      </c>
      <c r="E162" s="16">
        <f>198/3</f>
        <v>66</v>
      </c>
    </row>
    <row r="163" spans="1:5" x14ac:dyDescent="0.25">
      <c r="A163" s="6" t="s">
        <v>382</v>
      </c>
      <c r="B163" s="6" t="s">
        <v>385</v>
      </c>
      <c r="C163" s="16">
        <v>1</v>
      </c>
      <c r="D163" s="16">
        <v>69</v>
      </c>
      <c r="E163" s="16">
        <v>72</v>
      </c>
    </row>
    <row r="164" spans="1:5" x14ac:dyDescent="0.25">
      <c r="A164" s="6" t="s">
        <v>382</v>
      </c>
      <c r="B164" s="6" t="s">
        <v>386</v>
      </c>
      <c r="C164" s="16">
        <v>1</v>
      </c>
      <c r="D164" s="16">
        <v>87</v>
      </c>
      <c r="E164" s="16">
        <v>66</v>
      </c>
    </row>
    <row r="165" spans="1:5" x14ac:dyDescent="0.25">
      <c r="A165" s="6" t="s">
        <v>382</v>
      </c>
      <c r="B165" s="6" t="s">
        <v>387</v>
      </c>
      <c r="C165" s="16">
        <v>1</v>
      </c>
      <c r="D165" s="16">
        <v>1</v>
      </c>
      <c r="E165" s="16">
        <v>42</v>
      </c>
    </row>
    <row r="166" spans="1:5" x14ac:dyDescent="0.25">
      <c r="A166" s="6" t="s">
        <v>382</v>
      </c>
      <c r="B166" s="6" t="s">
        <v>396</v>
      </c>
      <c r="C166" s="16">
        <v>1</v>
      </c>
      <c r="D166" s="16">
        <v>12</v>
      </c>
      <c r="E166" s="16">
        <f>330/6</f>
        <v>55</v>
      </c>
    </row>
    <row r="167" spans="1:5" x14ac:dyDescent="0.25">
      <c r="A167" s="6" t="s">
        <v>382</v>
      </c>
      <c r="B167" s="6" t="s">
        <v>388</v>
      </c>
      <c r="C167" s="16">
        <v>1</v>
      </c>
      <c r="D167" s="16">
        <v>13</v>
      </c>
      <c r="E167" s="16">
        <v>65</v>
      </c>
    </row>
    <row r="168" spans="1:5" x14ac:dyDescent="0.25">
      <c r="A168" s="6" t="s">
        <v>382</v>
      </c>
      <c r="B168" s="6" t="s">
        <v>1154</v>
      </c>
      <c r="C168" s="16">
        <v>1</v>
      </c>
      <c r="D168" s="16">
        <v>60</v>
      </c>
      <c r="E168" s="16">
        <v>50</v>
      </c>
    </row>
    <row r="169" spans="1:5" x14ac:dyDescent="0.25">
      <c r="A169" s="6" t="s">
        <v>382</v>
      </c>
      <c r="B169" s="6" t="s">
        <v>389</v>
      </c>
      <c r="C169" s="16">
        <v>1</v>
      </c>
      <c r="D169" s="16">
        <v>105</v>
      </c>
      <c r="E169" s="16">
        <v>58</v>
      </c>
    </row>
    <row r="170" spans="1:5" x14ac:dyDescent="0.25">
      <c r="A170" s="6" t="s">
        <v>382</v>
      </c>
      <c r="B170" s="6" t="s">
        <v>390</v>
      </c>
      <c r="C170" s="16">
        <v>1</v>
      </c>
      <c r="D170" s="16">
        <v>25</v>
      </c>
      <c r="E170" s="16">
        <v>62</v>
      </c>
    </row>
    <row r="171" spans="1:5" x14ac:dyDescent="0.25">
      <c r="A171" s="6" t="s">
        <v>382</v>
      </c>
      <c r="B171" s="6" t="s">
        <v>391</v>
      </c>
      <c r="C171" s="16">
        <v>1</v>
      </c>
      <c r="D171" s="16">
        <v>19</v>
      </c>
      <c r="E171" s="16">
        <v>62</v>
      </c>
    </row>
    <row r="172" spans="1:5" x14ac:dyDescent="0.25">
      <c r="A172" s="6" t="s">
        <v>382</v>
      </c>
      <c r="B172" s="6" t="s">
        <v>392</v>
      </c>
      <c r="C172" s="16">
        <v>1</v>
      </c>
      <c r="D172" s="16">
        <v>15</v>
      </c>
      <c r="E172" s="16">
        <v>40</v>
      </c>
    </row>
    <row r="173" spans="1:5" x14ac:dyDescent="0.25">
      <c r="A173" s="6" t="s">
        <v>382</v>
      </c>
      <c r="B173" s="6" t="s">
        <v>393</v>
      </c>
      <c r="C173" s="16">
        <v>1</v>
      </c>
      <c r="D173" s="16">
        <v>7</v>
      </c>
      <c r="E173" s="16">
        <v>39</v>
      </c>
    </row>
    <row r="174" spans="1:5" x14ac:dyDescent="0.25">
      <c r="A174" s="6" t="s">
        <v>382</v>
      </c>
      <c r="B174" s="6" t="s">
        <v>394</v>
      </c>
      <c r="C174" s="16">
        <v>1</v>
      </c>
      <c r="D174" s="16">
        <v>61</v>
      </c>
      <c r="E174" s="16">
        <v>58</v>
      </c>
    </row>
    <row r="175" spans="1:5" x14ac:dyDescent="0.25">
      <c r="A175" s="6" t="s">
        <v>395</v>
      </c>
      <c r="B175" s="6" t="s">
        <v>397</v>
      </c>
      <c r="C175" s="16">
        <v>1</v>
      </c>
      <c r="D175" s="16">
        <v>38</v>
      </c>
      <c r="E175" s="16">
        <f>1080/20</f>
        <v>54</v>
      </c>
    </row>
    <row r="176" spans="1:5" x14ac:dyDescent="0.25">
      <c r="A176" s="6" t="s">
        <v>395</v>
      </c>
      <c r="B176" s="6" t="s">
        <v>398</v>
      </c>
      <c r="C176" s="16">
        <v>1</v>
      </c>
      <c r="D176" s="16">
        <v>20</v>
      </c>
      <c r="E176" s="16">
        <v>50</v>
      </c>
    </row>
    <row r="177" spans="1:5" x14ac:dyDescent="0.25">
      <c r="A177" s="6" t="s">
        <v>395</v>
      </c>
      <c r="B177" s="6" t="s">
        <v>399</v>
      </c>
      <c r="C177" s="16">
        <v>1</v>
      </c>
      <c r="D177" s="16">
        <v>26</v>
      </c>
      <c r="E177" s="16">
        <v>60</v>
      </c>
    </row>
    <row r="178" spans="1:5" x14ac:dyDescent="0.25">
      <c r="A178" s="6" t="s">
        <v>395</v>
      </c>
      <c r="B178" s="6" t="s">
        <v>400</v>
      </c>
      <c r="C178" s="16">
        <v>1</v>
      </c>
      <c r="D178" s="16">
        <v>11</v>
      </c>
      <c r="E178" s="16">
        <f>330/5</f>
        <v>66</v>
      </c>
    </row>
    <row r="179" spans="1:5" x14ac:dyDescent="0.25">
      <c r="A179" s="6" t="s">
        <v>395</v>
      </c>
      <c r="B179" s="6" t="s">
        <v>401</v>
      </c>
      <c r="C179" s="16">
        <v>1</v>
      </c>
      <c r="D179" s="16">
        <v>8</v>
      </c>
      <c r="E179" s="16">
        <f>330/5</f>
        <v>66</v>
      </c>
    </row>
    <row r="180" spans="1:5" x14ac:dyDescent="0.25">
      <c r="A180" s="6" t="s">
        <v>395</v>
      </c>
      <c r="B180" s="6" t="s">
        <v>402</v>
      </c>
      <c r="C180" s="16">
        <v>1</v>
      </c>
      <c r="D180" s="16">
        <v>1</v>
      </c>
      <c r="E180" s="16">
        <f>330/5</f>
        <v>66</v>
      </c>
    </row>
    <row r="181" spans="1:5" x14ac:dyDescent="0.25">
      <c r="A181" s="6" t="s">
        <v>395</v>
      </c>
      <c r="B181" s="6" t="s">
        <v>279</v>
      </c>
      <c r="C181" s="16">
        <v>1</v>
      </c>
      <c r="D181" s="16">
        <v>64</v>
      </c>
      <c r="E181" s="16">
        <v>50</v>
      </c>
    </row>
    <row r="182" spans="1:5" x14ac:dyDescent="0.25">
      <c r="A182" s="6" t="s">
        <v>395</v>
      </c>
      <c r="B182" s="6" t="s">
        <v>403</v>
      </c>
      <c r="C182" s="16">
        <v>1</v>
      </c>
      <c r="D182" s="16">
        <v>35</v>
      </c>
      <c r="E182" s="16">
        <v>50</v>
      </c>
    </row>
    <row r="183" spans="1:5" x14ac:dyDescent="0.25">
      <c r="A183" s="6" t="s">
        <v>395</v>
      </c>
      <c r="B183" s="6" t="s">
        <v>404</v>
      </c>
      <c r="C183" s="16">
        <v>1</v>
      </c>
      <c r="D183" s="16">
        <v>6</v>
      </c>
      <c r="E183" s="16">
        <v>50</v>
      </c>
    </row>
    <row r="184" spans="1:5" x14ac:dyDescent="0.25">
      <c r="A184" s="6" t="s">
        <v>395</v>
      </c>
      <c r="B184" s="6" t="s">
        <v>405</v>
      </c>
      <c r="C184" s="16">
        <v>1</v>
      </c>
      <c r="D184" s="16">
        <v>3</v>
      </c>
      <c r="E184" s="16">
        <v>56</v>
      </c>
    </row>
    <row r="185" spans="1:5" x14ac:dyDescent="0.25">
      <c r="A185" s="6" t="s">
        <v>395</v>
      </c>
      <c r="B185" s="6" t="s">
        <v>406</v>
      </c>
      <c r="C185" s="16">
        <v>1</v>
      </c>
      <c r="D185" s="16">
        <v>101</v>
      </c>
      <c r="E185" s="16">
        <v>56</v>
      </c>
    </row>
    <row r="186" spans="1:5" x14ac:dyDescent="0.25">
      <c r="A186" s="6" t="s">
        <v>395</v>
      </c>
      <c r="B186" s="6" t="s">
        <v>407</v>
      </c>
      <c r="C186" s="16">
        <v>1</v>
      </c>
      <c r="D186" s="16">
        <v>50</v>
      </c>
      <c r="E186" s="16">
        <v>56</v>
      </c>
    </row>
    <row r="187" spans="1:5" x14ac:dyDescent="0.25">
      <c r="A187" s="6" t="s">
        <v>395</v>
      </c>
      <c r="B187" s="6" t="s">
        <v>408</v>
      </c>
      <c r="C187" s="16">
        <v>1</v>
      </c>
      <c r="D187" s="16">
        <v>20</v>
      </c>
      <c r="E187" s="16">
        <f>310/5</f>
        <v>62</v>
      </c>
    </row>
    <row r="188" spans="1:5" x14ac:dyDescent="0.25">
      <c r="A188" s="6" t="s">
        <v>395</v>
      </c>
      <c r="B188" s="6" t="s">
        <v>409</v>
      </c>
      <c r="C188" s="16">
        <v>1</v>
      </c>
      <c r="D188" s="16">
        <v>1</v>
      </c>
      <c r="E188" s="16">
        <v>80</v>
      </c>
    </row>
    <row r="189" spans="1:5" x14ac:dyDescent="0.25">
      <c r="A189" s="6" t="s">
        <v>395</v>
      </c>
      <c r="B189" s="6" t="s">
        <v>410</v>
      </c>
      <c r="C189" s="16">
        <v>1</v>
      </c>
      <c r="D189" s="16">
        <f>87+60</f>
        <v>147</v>
      </c>
      <c r="E189" s="16">
        <f>2560/40</f>
        <v>64</v>
      </c>
    </row>
    <row r="190" spans="1:5" x14ac:dyDescent="0.25">
      <c r="A190" s="6" t="s">
        <v>411</v>
      </c>
      <c r="B190" s="6" t="s">
        <v>412</v>
      </c>
      <c r="C190" s="16">
        <v>1</v>
      </c>
      <c r="D190" s="16">
        <v>71</v>
      </c>
      <c r="E190" s="16">
        <v>88</v>
      </c>
    </row>
    <row r="191" spans="1:5" x14ac:dyDescent="0.25">
      <c r="A191" s="6" t="s">
        <v>411</v>
      </c>
      <c r="B191" s="6" t="s">
        <v>413</v>
      </c>
      <c r="C191" s="16">
        <v>1</v>
      </c>
      <c r="D191" s="16">
        <v>1</v>
      </c>
      <c r="E191" s="16">
        <v>74</v>
      </c>
    </row>
    <row r="192" spans="1:5" x14ac:dyDescent="0.25">
      <c r="A192" s="6" t="s">
        <v>411</v>
      </c>
      <c r="B192" s="6" t="s">
        <v>414</v>
      </c>
      <c r="C192" s="16">
        <v>1</v>
      </c>
      <c r="D192" s="16">
        <v>9</v>
      </c>
      <c r="E192" s="16">
        <f>540/9</f>
        <v>60</v>
      </c>
    </row>
    <row r="193" spans="1:5" x14ac:dyDescent="0.25">
      <c r="A193" s="6" t="s">
        <v>411</v>
      </c>
      <c r="B193" s="6" t="s">
        <v>415</v>
      </c>
      <c r="C193" s="16">
        <v>1</v>
      </c>
      <c r="D193" s="16">
        <v>10</v>
      </c>
      <c r="E193" s="16">
        <v>65.8</v>
      </c>
    </row>
    <row r="194" spans="1:5" x14ac:dyDescent="0.25">
      <c r="A194" s="6" t="s">
        <v>411</v>
      </c>
      <c r="B194" s="6" t="s">
        <v>416</v>
      </c>
      <c r="C194" s="16">
        <v>1</v>
      </c>
      <c r="D194" s="16">
        <v>28</v>
      </c>
      <c r="E194" s="16">
        <v>50</v>
      </c>
    </row>
    <row r="195" spans="1:5" x14ac:dyDescent="0.25">
      <c r="A195" s="6" t="s">
        <v>411</v>
      </c>
      <c r="B195" s="6" t="s">
        <v>417</v>
      </c>
      <c r="C195" s="16">
        <v>1</v>
      </c>
      <c r="D195" s="16">
        <v>5</v>
      </c>
      <c r="E195" s="16">
        <f>340/5</f>
        <v>68</v>
      </c>
    </row>
    <row r="196" spans="1:5" x14ac:dyDescent="0.25">
      <c r="A196" s="6" t="s">
        <v>411</v>
      </c>
      <c r="B196" s="6" t="s">
        <v>418</v>
      </c>
      <c r="C196" s="16">
        <v>1</v>
      </c>
      <c r="D196" s="16">
        <v>5</v>
      </c>
      <c r="E196" s="16">
        <f>330/5</f>
        <v>66</v>
      </c>
    </row>
    <row r="197" spans="1:5" x14ac:dyDescent="0.25">
      <c r="A197" s="6" t="s">
        <v>411</v>
      </c>
      <c r="B197" s="6" t="s">
        <v>419</v>
      </c>
      <c r="C197" s="16">
        <v>1</v>
      </c>
      <c r="D197" s="16">
        <v>4</v>
      </c>
      <c r="E197" s="16">
        <f>284/4</f>
        <v>71</v>
      </c>
    </row>
    <row r="198" spans="1:5" x14ac:dyDescent="0.25">
      <c r="A198" s="6" t="s">
        <v>411</v>
      </c>
      <c r="B198" s="6" t="s">
        <v>420</v>
      </c>
      <c r="C198" s="16">
        <v>1</v>
      </c>
      <c r="D198" s="16">
        <v>12</v>
      </c>
      <c r="E198" s="16">
        <v>50</v>
      </c>
    </row>
    <row r="199" spans="1:5" x14ac:dyDescent="0.25">
      <c r="A199" s="6" t="s">
        <v>411</v>
      </c>
      <c r="B199" s="6" t="s">
        <v>421</v>
      </c>
      <c r="C199" s="16">
        <v>1</v>
      </c>
      <c r="D199" s="16">
        <v>28</v>
      </c>
      <c r="E199" s="16">
        <v>60</v>
      </c>
    </row>
    <row r="200" spans="1:5" x14ac:dyDescent="0.25">
      <c r="A200" s="6" t="s">
        <v>411</v>
      </c>
      <c r="B200" s="6" t="s">
        <v>422</v>
      </c>
      <c r="C200" s="16">
        <v>1</v>
      </c>
      <c r="D200" s="16">
        <v>40</v>
      </c>
      <c r="E200" s="16">
        <f>2400/4</f>
        <v>600</v>
      </c>
    </row>
    <row r="201" spans="1:5" x14ac:dyDescent="0.25">
      <c r="A201" s="6" t="s">
        <v>411</v>
      </c>
      <c r="B201" s="6" t="s">
        <v>423</v>
      </c>
      <c r="C201" s="16">
        <v>1</v>
      </c>
      <c r="D201" s="16">
        <v>6</v>
      </c>
      <c r="E201" s="16">
        <f>222/3</f>
        <v>74</v>
      </c>
    </row>
    <row r="202" spans="1:5" x14ac:dyDescent="0.25">
      <c r="A202" s="6" t="s">
        <v>411</v>
      </c>
      <c r="B202" s="6" t="s">
        <v>424</v>
      </c>
      <c r="C202" s="16">
        <v>1</v>
      </c>
      <c r="D202" s="16">
        <v>14</v>
      </c>
      <c r="E202" s="16">
        <v>58</v>
      </c>
    </row>
    <row r="203" spans="1:5" x14ac:dyDescent="0.25">
      <c r="A203" s="6" t="s">
        <v>411</v>
      </c>
      <c r="B203" s="6" t="s">
        <v>425</v>
      </c>
      <c r="C203" s="16">
        <v>1</v>
      </c>
      <c r="D203" s="16">
        <v>8</v>
      </c>
      <c r="E203" s="16">
        <f>210/3</f>
        <v>70</v>
      </c>
    </row>
    <row r="204" spans="1:5" x14ac:dyDescent="0.25">
      <c r="A204" s="6" t="s">
        <v>411</v>
      </c>
      <c r="B204" s="6" t="s">
        <v>426</v>
      </c>
      <c r="C204" s="16">
        <v>1</v>
      </c>
      <c r="D204" s="16">
        <v>6</v>
      </c>
      <c r="E204" s="16">
        <f>378/3</f>
        <v>126</v>
      </c>
    </row>
    <row r="205" spans="1:5" x14ac:dyDescent="0.25">
      <c r="A205" s="6" t="s">
        <v>411</v>
      </c>
      <c r="B205" s="6" t="s">
        <v>427</v>
      </c>
      <c r="C205" s="16">
        <v>1</v>
      </c>
      <c r="D205" s="16">
        <v>7</v>
      </c>
      <c r="E205" s="16">
        <v>50</v>
      </c>
    </row>
    <row r="206" spans="1:5" x14ac:dyDescent="0.25">
      <c r="A206" s="6" t="s">
        <v>411</v>
      </c>
      <c r="B206" s="6" t="s">
        <v>428</v>
      </c>
      <c r="C206" s="16">
        <v>1</v>
      </c>
      <c r="D206" s="16">
        <v>23</v>
      </c>
      <c r="E206" s="16">
        <v>51</v>
      </c>
    </row>
    <row r="207" spans="1:5" x14ac:dyDescent="0.25">
      <c r="A207" s="6" t="s">
        <v>411</v>
      </c>
      <c r="B207" s="6" t="s">
        <v>429</v>
      </c>
      <c r="C207" s="16">
        <v>1</v>
      </c>
      <c r="D207" s="16">
        <f>20+132</f>
        <v>152</v>
      </c>
      <c r="E207" s="16">
        <v>20</v>
      </c>
    </row>
    <row r="208" spans="1:5" x14ac:dyDescent="0.25">
      <c r="A208" s="6" t="s">
        <v>411</v>
      </c>
      <c r="B208" s="6" t="s">
        <v>430</v>
      </c>
      <c r="C208" s="16">
        <v>1</v>
      </c>
      <c r="D208" s="16">
        <v>67</v>
      </c>
      <c r="E208" s="16">
        <v>20</v>
      </c>
    </row>
    <row r="209" spans="1:5" x14ac:dyDescent="0.25">
      <c r="A209" s="6" t="s">
        <v>411</v>
      </c>
      <c r="B209" s="6" t="s">
        <v>431</v>
      </c>
      <c r="C209" s="16">
        <v>1</v>
      </c>
      <c r="D209" s="16">
        <v>12</v>
      </c>
      <c r="E209" s="16">
        <v>51</v>
      </c>
    </row>
    <row r="210" spans="1:5" x14ac:dyDescent="0.25">
      <c r="A210" s="6" t="s">
        <v>411</v>
      </c>
      <c r="B210" s="6" t="s">
        <v>432</v>
      </c>
      <c r="C210" s="16">
        <v>1</v>
      </c>
      <c r="D210" s="16">
        <v>51</v>
      </c>
      <c r="E210" s="16">
        <v>20</v>
      </c>
    </row>
    <row r="211" spans="1:5" x14ac:dyDescent="0.25">
      <c r="A211" s="6" t="s">
        <v>411</v>
      </c>
      <c r="B211" s="6" t="s">
        <v>433</v>
      </c>
      <c r="C211" s="16">
        <v>1</v>
      </c>
      <c r="D211" s="16">
        <v>1</v>
      </c>
      <c r="E211" s="16">
        <v>64</v>
      </c>
    </row>
    <row r="212" spans="1:5" x14ac:dyDescent="0.25">
      <c r="A212" s="6" t="s">
        <v>411</v>
      </c>
      <c r="B212" s="6" t="s">
        <v>434</v>
      </c>
      <c r="C212" s="16">
        <v>1</v>
      </c>
      <c r="D212" s="16">
        <v>7</v>
      </c>
      <c r="E212" s="16">
        <f>198/3</f>
        <v>66</v>
      </c>
    </row>
    <row r="213" spans="1:5" x14ac:dyDescent="0.25">
      <c r="A213" s="6" t="s">
        <v>411</v>
      </c>
      <c r="B213" s="6" t="s">
        <v>435</v>
      </c>
      <c r="C213" s="16">
        <v>1</v>
      </c>
      <c r="D213" s="16">
        <v>9</v>
      </c>
      <c r="E213" s="16">
        <f>330/5</f>
        <v>66</v>
      </c>
    </row>
    <row r="214" spans="1:5" x14ac:dyDescent="0.25">
      <c r="A214" s="6" t="s">
        <v>411</v>
      </c>
      <c r="B214" s="6" t="s">
        <v>436</v>
      </c>
      <c r="C214" s="16">
        <v>1</v>
      </c>
      <c r="D214" s="16">
        <v>5</v>
      </c>
      <c r="E214" s="16">
        <v>45.5</v>
      </c>
    </row>
    <row r="215" spans="1:5" x14ac:dyDescent="0.25">
      <c r="A215" s="6" t="s">
        <v>411</v>
      </c>
      <c r="B215" s="6" t="s">
        <v>437</v>
      </c>
      <c r="C215" s="16">
        <v>1</v>
      </c>
      <c r="D215" s="16">
        <v>2</v>
      </c>
      <c r="E215" s="16">
        <f>144/2</f>
        <v>72</v>
      </c>
    </row>
    <row r="216" spans="1:5" x14ac:dyDescent="0.25">
      <c r="A216" s="6" t="s">
        <v>411</v>
      </c>
      <c r="B216" s="6" t="s">
        <v>438</v>
      </c>
      <c r="C216" s="16">
        <v>1</v>
      </c>
      <c r="D216" s="16">
        <v>14</v>
      </c>
      <c r="E216" s="16">
        <v>58</v>
      </c>
    </row>
    <row r="217" spans="1:5" x14ac:dyDescent="0.25">
      <c r="A217" s="6" t="s">
        <v>411</v>
      </c>
      <c r="B217" s="6" t="s">
        <v>439</v>
      </c>
      <c r="C217" s="16">
        <v>1</v>
      </c>
      <c r="D217" s="16">
        <v>37</v>
      </c>
      <c r="E217" s="16">
        <f>1100/20</f>
        <v>55</v>
      </c>
    </row>
    <row r="218" spans="1:5" x14ac:dyDescent="0.25">
      <c r="A218" s="6" t="s">
        <v>411</v>
      </c>
      <c r="B218" s="6" t="s">
        <v>440</v>
      </c>
      <c r="C218" s="16">
        <v>1</v>
      </c>
      <c r="D218" s="16">
        <v>10</v>
      </c>
      <c r="E218" s="16">
        <f>330/6</f>
        <v>55</v>
      </c>
    </row>
    <row r="219" spans="1:5" x14ac:dyDescent="0.25">
      <c r="A219" s="6" t="s">
        <v>411</v>
      </c>
      <c r="B219" s="6" t="s">
        <v>441</v>
      </c>
      <c r="C219" s="16">
        <v>1</v>
      </c>
      <c r="D219" s="16">
        <v>1</v>
      </c>
      <c r="E219" s="16">
        <v>50</v>
      </c>
    </row>
    <row r="220" spans="1:5" x14ac:dyDescent="0.25">
      <c r="A220" s="6" t="s">
        <v>411</v>
      </c>
      <c r="B220" s="6" t="s">
        <v>442</v>
      </c>
      <c r="C220" s="16">
        <v>1</v>
      </c>
      <c r="D220" s="16">
        <v>5</v>
      </c>
      <c r="E220" s="16">
        <v>50</v>
      </c>
    </row>
    <row r="221" spans="1:5" x14ac:dyDescent="0.25">
      <c r="A221" s="6" t="s">
        <v>411</v>
      </c>
      <c r="B221" s="6" t="s">
        <v>443</v>
      </c>
      <c r="C221" s="16">
        <v>1</v>
      </c>
      <c r="D221" s="16">
        <v>7</v>
      </c>
      <c r="E221" s="16">
        <f>420/7</f>
        <v>60</v>
      </c>
    </row>
    <row r="222" spans="1:5" x14ac:dyDescent="0.25">
      <c r="A222" s="6" t="s">
        <v>444</v>
      </c>
      <c r="B222" s="6" t="s">
        <v>279</v>
      </c>
      <c r="C222" s="16">
        <v>1</v>
      </c>
      <c r="D222" s="16">
        <v>8</v>
      </c>
      <c r="E222" s="16">
        <f>144/3</f>
        <v>48</v>
      </c>
    </row>
    <row r="223" spans="1:5" x14ac:dyDescent="0.25">
      <c r="A223" s="6" t="s">
        <v>444</v>
      </c>
      <c r="B223" s="6" t="s">
        <v>280</v>
      </c>
      <c r="C223" s="16">
        <v>1</v>
      </c>
      <c r="D223" s="16">
        <v>1</v>
      </c>
      <c r="E223" s="16">
        <v>60</v>
      </c>
    </row>
    <row r="224" spans="1:5" x14ac:dyDescent="0.25">
      <c r="A224" s="6" t="s">
        <v>444</v>
      </c>
      <c r="B224" s="6" t="s">
        <v>446</v>
      </c>
      <c r="C224" s="16">
        <v>1</v>
      </c>
      <c r="D224" s="16">
        <v>19</v>
      </c>
      <c r="E224" s="16">
        <f>192/4</f>
        <v>48</v>
      </c>
    </row>
    <row r="225" spans="1:5" x14ac:dyDescent="0.25">
      <c r="A225" s="6" t="s">
        <v>444</v>
      </c>
      <c r="B225" s="6" t="s">
        <v>447</v>
      </c>
      <c r="C225" s="16">
        <v>1</v>
      </c>
      <c r="D225" s="16">
        <v>6</v>
      </c>
      <c r="E225" s="16">
        <v>60</v>
      </c>
    </row>
    <row r="226" spans="1:5" x14ac:dyDescent="0.25">
      <c r="A226" s="6" t="s">
        <v>444</v>
      </c>
      <c r="B226" s="6" t="s">
        <v>448</v>
      </c>
      <c r="C226" s="16">
        <v>1</v>
      </c>
      <c r="D226" s="16">
        <v>21</v>
      </c>
      <c r="E226" s="16">
        <f>192/3</f>
        <v>64</v>
      </c>
    </row>
    <row r="227" spans="1:5" x14ac:dyDescent="0.25">
      <c r="A227" s="6" t="s">
        <v>444</v>
      </c>
      <c r="B227" s="6" t="s">
        <v>372</v>
      </c>
      <c r="C227" s="16">
        <v>1</v>
      </c>
      <c r="D227" s="16">
        <v>3</v>
      </c>
      <c r="E227" s="16">
        <v>48</v>
      </c>
    </row>
    <row r="228" spans="1:5" x14ac:dyDescent="0.25">
      <c r="A228" s="6" t="s">
        <v>444</v>
      </c>
      <c r="B228" s="6" t="s">
        <v>449</v>
      </c>
      <c r="C228" s="16">
        <v>1</v>
      </c>
      <c r="D228" s="16">
        <v>21</v>
      </c>
      <c r="E228" s="16">
        <v>60</v>
      </c>
    </row>
    <row r="229" spans="1:5" x14ac:dyDescent="0.25">
      <c r="A229" s="6" t="s">
        <v>444</v>
      </c>
      <c r="B229" s="6" t="s">
        <v>450</v>
      </c>
      <c r="C229" s="16">
        <v>1</v>
      </c>
      <c r="D229" s="16">
        <v>2</v>
      </c>
      <c r="E229" s="16">
        <v>60</v>
      </c>
    </row>
    <row r="230" spans="1:5" x14ac:dyDescent="0.25">
      <c r="A230" s="6" t="s">
        <v>444</v>
      </c>
      <c r="B230" s="6" t="s">
        <v>451</v>
      </c>
      <c r="C230" s="16">
        <v>1</v>
      </c>
      <c r="D230" s="16">
        <v>3</v>
      </c>
      <c r="E230" s="16">
        <f>162/3</f>
        <v>54</v>
      </c>
    </row>
    <row r="231" spans="1:5" x14ac:dyDescent="0.25">
      <c r="A231" s="6" t="s">
        <v>444</v>
      </c>
      <c r="B231" s="6" t="s">
        <v>452</v>
      </c>
      <c r="C231" s="16">
        <v>1</v>
      </c>
      <c r="D231" s="16">
        <v>26</v>
      </c>
      <c r="E231" s="16">
        <f>186/3</f>
        <v>62</v>
      </c>
    </row>
    <row r="232" spans="1:5" x14ac:dyDescent="0.25">
      <c r="A232" s="6" t="s">
        <v>445</v>
      </c>
      <c r="B232" s="6" t="s">
        <v>453</v>
      </c>
      <c r="C232" s="16">
        <v>1</v>
      </c>
      <c r="D232" s="16">
        <v>6</v>
      </c>
      <c r="E232" s="16">
        <v>50</v>
      </c>
    </row>
    <row r="233" spans="1:5" x14ac:dyDescent="0.25">
      <c r="A233" s="6" t="s">
        <v>454</v>
      </c>
      <c r="B233" s="6" t="s">
        <v>455</v>
      </c>
      <c r="C233" s="16">
        <v>1</v>
      </c>
      <c r="D233" s="16">
        <v>2</v>
      </c>
      <c r="E233" s="16">
        <f>116/2</f>
        <v>58</v>
      </c>
    </row>
    <row r="234" spans="1:5" x14ac:dyDescent="0.25">
      <c r="A234" s="6" t="s">
        <v>454</v>
      </c>
      <c r="B234" s="6" t="s">
        <v>456</v>
      </c>
      <c r="C234" s="16">
        <v>1</v>
      </c>
      <c r="D234" s="16">
        <v>13</v>
      </c>
      <c r="E234" s="16">
        <f>228/3</f>
        <v>76</v>
      </c>
    </row>
    <row r="235" spans="1:5" x14ac:dyDescent="0.25">
      <c r="A235" s="6" t="s">
        <v>457</v>
      </c>
      <c r="B235" s="6" t="s">
        <v>458</v>
      </c>
      <c r="C235" s="16">
        <v>1</v>
      </c>
      <c r="D235" s="16">
        <v>65</v>
      </c>
      <c r="E235" s="16">
        <v>66</v>
      </c>
    </row>
    <row r="236" spans="1:5" x14ac:dyDescent="0.25">
      <c r="A236" s="6" t="s">
        <v>459</v>
      </c>
      <c r="B236" s="6" t="s">
        <v>460</v>
      </c>
      <c r="C236" s="16">
        <v>1</v>
      </c>
      <c r="D236" s="16">
        <v>132</v>
      </c>
      <c r="E236" s="16">
        <v>55</v>
      </c>
    </row>
    <row r="237" spans="1:5" x14ac:dyDescent="0.25">
      <c r="A237" s="6" t="s">
        <v>459</v>
      </c>
      <c r="B237" s="6" t="s">
        <v>461</v>
      </c>
      <c r="C237" s="16">
        <v>1</v>
      </c>
      <c r="D237" s="16">
        <v>61</v>
      </c>
      <c r="E237" s="16">
        <v>76</v>
      </c>
    </row>
    <row r="238" spans="1:5" x14ac:dyDescent="0.25">
      <c r="A238" s="6" t="s">
        <v>459</v>
      </c>
      <c r="B238" s="6" t="s">
        <v>462</v>
      </c>
      <c r="C238" s="16">
        <v>1</v>
      </c>
      <c r="D238" s="16">
        <v>15</v>
      </c>
      <c r="E238" s="16">
        <f>240/6</f>
        <v>40</v>
      </c>
    </row>
    <row r="239" spans="1:5" x14ac:dyDescent="0.25">
      <c r="A239" s="6" t="s">
        <v>459</v>
      </c>
      <c r="B239" s="6" t="s">
        <v>463</v>
      </c>
      <c r="C239" s="16">
        <v>1</v>
      </c>
      <c r="D239" s="16">
        <v>64</v>
      </c>
      <c r="E239" s="16">
        <f>312/4</f>
        <v>78</v>
      </c>
    </row>
    <row r="240" spans="1:5" x14ac:dyDescent="0.25">
      <c r="A240" s="6" t="s">
        <v>459</v>
      </c>
      <c r="B240" s="6" t="s">
        <v>464</v>
      </c>
      <c r="C240" s="16">
        <v>1</v>
      </c>
      <c r="D240" s="16">
        <v>76</v>
      </c>
      <c r="E240" s="16">
        <f>616/11</f>
        <v>56</v>
      </c>
    </row>
    <row r="241" spans="1:5" x14ac:dyDescent="0.25">
      <c r="A241" s="6" t="s">
        <v>459</v>
      </c>
      <c r="B241" s="6" t="s">
        <v>465</v>
      </c>
      <c r="C241" s="16">
        <v>1</v>
      </c>
      <c r="D241" s="16">
        <v>9</v>
      </c>
      <c r="E241" s="16">
        <f>444/6</f>
        <v>74</v>
      </c>
    </row>
    <row r="242" spans="1:5" x14ac:dyDescent="0.25">
      <c r="A242" s="6" t="s">
        <v>459</v>
      </c>
      <c r="B242" s="6" t="s">
        <v>466</v>
      </c>
      <c r="C242" s="16">
        <v>1</v>
      </c>
      <c r="D242" s="16">
        <v>4</v>
      </c>
      <c r="E242" s="16">
        <f>256/4</f>
        <v>64</v>
      </c>
    </row>
    <row r="243" spans="1:5" x14ac:dyDescent="0.25">
      <c r="A243" s="6" t="s">
        <v>459</v>
      </c>
      <c r="B243" s="6" t="s">
        <v>467</v>
      </c>
      <c r="C243" s="16">
        <v>1</v>
      </c>
      <c r="D243" s="16">
        <v>63</v>
      </c>
      <c r="E243" s="16">
        <v>85</v>
      </c>
    </row>
    <row r="244" spans="1:5" x14ac:dyDescent="0.25">
      <c r="A244" s="6" t="s">
        <v>459</v>
      </c>
      <c r="B244" s="6" t="s">
        <v>1159</v>
      </c>
      <c r="C244" s="16">
        <v>1</v>
      </c>
      <c r="D244" s="16">
        <v>60</v>
      </c>
      <c r="E244" s="16">
        <v>85</v>
      </c>
    </row>
    <row r="245" spans="1:5" x14ac:dyDescent="0.25">
      <c r="A245" s="6" t="s">
        <v>468</v>
      </c>
      <c r="B245" s="6" t="s">
        <v>469</v>
      </c>
      <c r="C245" s="16">
        <v>1</v>
      </c>
      <c r="D245" s="16">
        <v>16</v>
      </c>
      <c r="E245" s="16">
        <f>310/5</f>
        <v>62</v>
      </c>
    </row>
    <row r="246" spans="1:5" x14ac:dyDescent="0.25">
      <c r="A246" s="6" t="s">
        <v>470</v>
      </c>
      <c r="B246" s="6" t="s">
        <v>471</v>
      </c>
      <c r="C246" s="16">
        <v>1</v>
      </c>
      <c r="D246" s="16">
        <v>85</v>
      </c>
      <c r="E246" s="16">
        <v>84</v>
      </c>
    </row>
    <row r="247" spans="1:5" x14ac:dyDescent="0.25">
      <c r="A247" s="6" t="s">
        <v>472</v>
      </c>
      <c r="B247" s="6" t="s">
        <v>474</v>
      </c>
      <c r="C247" s="16">
        <v>1</v>
      </c>
      <c r="D247" s="16">
        <v>92</v>
      </c>
      <c r="E247" s="16">
        <v>66</v>
      </c>
    </row>
    <row r="248" spans="1:5" x14ac:dyDescent="0.25">
      <c r="A248" s="6" t="s">
        <v>473</v>
      </c>
      <c r="B248" s="6" t="s">
        <v>475</v>
      </c>
      <c r="C248" s="16">
        <v>1</v>
      </c>
      <c r="D248" s="16">
        <v>20</v>
      </c>
      <c r="E248" s="16">
        <f>174/3</f>
        <v>58</v>
      </c>
    </row>
    <row r="249" spans="1:5" x14ac:dyDescent="0.25">
      <c r="A249" s="6" t="s">
        <v>473</v>
      </c>
      <c r="B249" s="6" t="s">
        <v>476</v>
      </c>
      <c r="C249" s="16">
        <v>1</v>
      </c>
      <c r="D249" s="16">
        <v>37</v>
      </c>
      <c r="E249" s="16">
        <f>230/5</f>
        <v>46</v>
      </c>
    </row>
    <row r="250" spans="1:5" x14ac:dyDescent="0.25">
      <c r="A250" s="6" t="s">
        <v>473</v>
      </c>
      <c r="B250" s="6" t="s">
        <v>477</v>
      </c>
      <c r="C250" s="16">
        <v>1</v>
      </c>
      <c r="D250" s="16">
        <v>25</v>
      </c>
      <c r="E250" s="16">
        <f>112/2</f>
        <v>56</v>
      </c>
    </row>
    <row r="251" spans="1:5" x14ac:dyDescent="0.25">
      <c r="A251" s="6" t="s">
        <v>478</v>
      </c>
      <c r="B251" s="6" t="s">
        <v>479</v>
      </c>
      <c r="C251" s="16">
        <v>1</v>
      </c>
      <c r="D251" s="16">
        <v>39</v>
      </c>
      <c r="E251" s="16">
        <f>1150/25</f>
        <v>46</v>
      </c>
    </row>
    <row r="252" spans="1:5" x14ac:dyDescent="0.25">
      <c r="A252" s="6" t="s">
        <v>478</v>
      </c>
      <c r="B252" s="6" t="s">
        <v>372</v>
      </c>
      <c r="C252" s="16">
        <v>1</v>
      </c>
      <c r="D252" s="16">
        <v>21</v>
      </c>
      <c r="E252" s="16">
        <v>48</v>
      </c>
    </row>
    <row r="253" spans="1:5" x14ac:dyDescent="0.25">
      <c r="A253" s="6" t="s">
        <v>478</v>
      </c>
      <c r="B253" s="6" t="s">
        <v>480</v>
      </c>
      <c r="C253" s="16">
        <v>1</v>
      </c>
      <c r="D253" s="16">
        <v>4</v>
      </c>
      <c r="E253" s="16">
        <v>62</v>
      </c>
    </row>
    <row r="254" spans="1:5" x14ac:dyDescent="0.25">
      <c r="A254" s="6" t="s">
        <v>478</v>
      </c>
      <c r="B254" s="6" t="s">
        <v>481</v>
      </c>
      <c r="C254" s="16">
        <v>1</v>
      </c>
      <c r="D254" s="16">
        <v>12</v>
      </c>
      <c r="E254" s="16">
        <v>60</v>
      </c>
    </row>
    <row r="255" spans="1:5" x14ac:dyDescent="0.25">
      <c r="A255" s="6" t="s">
        <v>478</v>
      </c>
      <c r="B255" s="6" t="s">
        <v>482</v>
      </c>
      <c r="C255" s="16">
        <v>1</v>
      </c>
      <c r="D255" s="16">
        <v>3</v>
      </c>
      <c r="E255" s="16">
        <f>144/3</f>
        <v>48</v>
      </c>
    </row>
    <row r="256" spans="1:5" x14ac:dyDescent="0.25">
      <c r="A256" s="6" t="s">
        <v>478</v>
      </c>
      <c r="B256" s="6" t="s">
        <v>483</v>
      </c>
      <c r="C256" s="16">
        <v>1</v>
      </c>
      <c r="D256" s="16">
        <v>14</v>
      </c>
      <c r="E256" s="16">
        <v>54</v>
      </c>
    </row>
    <row r="257" spans="1:5" x14ac:dyDescent="0.25">
      <c r="A257" s="6" t="s">
        <v>478</v>
      </c>
      <c r="B257" s="6" t="s">
        <v>484</v>
      </c>
      <c r="C257" s="16">
        <v>1</v>
      </c>
      <c r="D257" s="16">
        <v>11</v>
      </c>
      <c r="E257" s="16">
        <f>144/3</f>
        <v>48</v>
      </c>
    </row>
    <row r="258" spans="1:5" x14ac:dyDescent="0.25">
      <c r="A258" s="6" t="s">
        <v>485</v>
      </c>
      <c r="B258" s="6" t="s">
        <v>486</v>
      </c>
      <c r="C258" s="16">
        <v>1</v>
      </c>
      <c r="D258" s="16">
        <v>13</v>
      </c>
      <c r="E258" s="16">
        <v>60</v>
      </c>
    </row>
    <row r="259" spans="1:5" x14ac:dyDescent="0.25">
      <c r="A259" s="6" t="s">
        <v>485</v>
      </c>
      <c r="B259" s="6" t="s">
        <v>487</v>
      </c>
      <c r="C259" s="16">
        <v>1</v>
      </c>
      <c r="D259" s="16">
        <v>41</v>
      </c>
      <c r="E259" s="16">
        <v>32</v>
      </c>
    </row>
    <row r="260" spans="1:5" x14ac:dyDescent="0.25">
      <c r="A260" s="6" t="s">
        <v>485</v>
      </c>
      <c r="B260" s="6" t="s">
        <v>488</v>
      </c>
      <c r="C260" s="16">
        <v>1</v>
      </c>
      <c r="D260" s="16">
        <v>3</v>
      </c>
      <c r="E260" s="16">
        <f>174/3</f>
        <v>58</v>
      </c>
    </row>
    <row r="261" spans="1:5" x14ac:dyDescent="0.25">
      <c r="A261" s="6" t="s">
        <v>485</v>
      </c>
      <c r="B261" s="6" t="s">
        <v>489</v>
      </c>
      <c r="C261" s="16">
        <v>1</v>
      </c>
      <c r="D261" s="16">
        <v>23</v>
      </c>
      <c r="E261" s="16">
        <v>58</v>
      </c>
    </row>
    <row r="262" spans="1:5" x14ac:dyDescent="0.25">
      <c r="A262" s="6" t="s">
        <v>485</v>
      </c>
      <c r="B262" s="6" t="s">
        <v>490</v>
      </c>
      <c r="C262" s="16">
        <v>1</v>
      </c>
      <c r="D262" s="16">
        <v>3</v>
      </c>
      <c r="E262" s="16">
        <f>171/3</f>
        <v>57</v>
      </c>
    </row>
    <row r="263" spans="1:5" x14ac:dyDescent="0.25">
      <c r="A263" s="6" t="s">
        <v>485</v>
      </c>
      <c r="B263" s="6" t="s">
        <v>491</v>
      </c>
      <c r="C263" s="16">
        <v>1</v>
      </c>
      <c r="D263" s="16">
        <v>11</v>
      </c>
      <c r="E263" s="16">
        <f>280/5</f>
        <v>56</v>
      </c>
    </row>
    <row r="264" spans="1:5" x14ac:dyDescent="0.25">
      <c r="A264" s="6" t="s">
        <v>485</v>
      </c>
      <c r="B264" s="6" t="s">
        <v>492</v>
      </c>
      <c r="C264" s="16">
        <v>1</v>
      </c>
      <c r="D264" s="16">
        <v>13</v>
      </c>
      <c r="E264" s="16">
        <v>70</v>
      </c>
    </row>
    <row r="265" spans="1:5" x14ac:dyDescent="0.25">
      <c r="A265" s="6" t="s">
        <v>493</v>
      </c>
      <c r="B265" s="6" t="s">
        <v>494</v>
      </c>
      <c r="C265" s="16">
        <v>1</v>
      </c>
      <c r="D265" s="16">
        <v>29</v>
      </c>
      <c r="E265" s="16">
        <v>40</v>
      </c>
    </row>
    <row r="266" spans="1:5" x14ac:dyDescent="0.25">
      <c r="A266" s="6" t="s">
        <v>493</v>
      </c>
      <c r="B266" s="6" t="s">
        <v>495</v>
      </c>
      <c r="C266" s="16">
        <v>1</v>
      </c>
      <c r="D266" s="16">
        <v>19</v>
      </c>
      <c r="E266" s="16">
        <v>40</v>
      </c>
    </row>
    <row r="267" spans="1:5" x14ac:dyDescent="0.25">
      <c r="A267" s="6" t="s">
        <v>88</v>
      </c>
      <c r="B267" s="6" t="s">
        <v>496</v>
      </c>
      <c r="C267" s="16">
        <v>6</v>
      </c>
      <c r="D267" s="16">
        <v>40</v>
      </c>
      <c r="E267" s="16">
        <v>130</v>
      </c>
    </row>
    <row r="268" spans="1:5" x14ac:dyDescent="0.25">
      <c r="A268" s="6" t="s">
        <v>88</v>
      </c>
      <c r="B268" s="6" t="s">
        <v>497</v>
      </c>
      <c r="C268" s="16">
        <v>6</v>
      </c>
      <c r="D268" s="16">
        <v>30</v>
      </c>
      <c r="E268" s="16">
        <v>130</v>
      </c>
    </row>
    <row r="269" spans="1:5" x14ac:dyDescent="0.25">
      <c r="A269" s="6" t="s">
        <v>88</v>
      </c>
      <c r="B269" s="6" t="s">
        <v>498</v>
      </c>
      <c r="C269" s="16">
        <v>6</v>
      </c>
      <c r="D269" s="16">
        <v>40</v>
      </c>
      <c r="E269" s="16">
        <v>130</v>
      </c>
    </row>
    <row r="270" spans="1:5" x14ac:dyDescent="0.25">
      <c r="A270" s="6" t="s">
        <v>88</v>
      </c>
      <c r="B270" s="6" t="s">
        <v>499</v>
      </c>
      <c r="C270" s="16">
        <v>6</v>
      </c>
      <c r="D270" s="16">
        <v>35</v>
      </c>
      <c r="E270" s="16">
        <v>130</v>
      </c>
    </row>
    <row r="271" spans="1:5" x14ac:dyDescent="0.25">
      <c r="A271" s="6" t="s">
        <v>88</v>
      </c>
      <c r="B271" s="6" t="s">
        <v>500</v>
      </c>
      <c r="C271" s="16">
        <v>1</v>
      </c>
      <c r="D271" s="16">
        <f>24+10+15+31</f>
        <v>80</v>
      </c>
      <c r="E271" s="16">
        <v>55</v>
      </c>
    </row>
    <row r="272" spans="1:5" x14ac:dyDescent="0.25">
      <c r="A272" s="6" t="s">
        <v>88</v>
      </c>
      <c r="B272" s="6" t="s">
        <v>502</v>
      </c>
      <c r="C272" s="16">
        <v>1</v>
      </c>
      <c r="D272" s="16">
        <v>5</v>
      </c>
      <c r="E272" s="16">
        <f>490/5</f>
        <v>98</v>
      </c>
    </row>
    <row r="273" spans="1:5" x14ac:dyDescent="0.25">
      <c r="A273" s="6" t="s">
        <v>88</v>
      </c>
      <c r="B273" s="6" t="s">
        <v>501</v>
      </c>
      <c r="C273" s="16">
        <v>1</v>
      </c>
      <c r="D273" s="16">
        <v>20</v>
      </c>
      <c r="E273" s="16">
        <f>896/7</f>
        <v>128</v>
      </c>
    </row>
    <row r="274" spans="1:5" x14ac:dyDescent="0.25">
      <c r="A274" s="6" t="s">
        <v>503</v>
      </c>
      <c r="B274" s="6" t="s">
        <v>504</v>
      </c>
      <c r="C274" s="16">
        <v>1</v>
      </c>
      <c r="D274" s="16">
        <v>5</v>
      </c>
      <c r="E274" s="16">
        <f>430/5</f>
        <v>86</v>
      </c>
    </row>
    <row r="275" spans="1:5" x14ac:dyDescent="0.25">
      <c r="A275" s="6" t="s">
        <v>503</v>
      </c>
      <c r="B275" s="6" t="s">
        <v>505</v>
      </c>
      <c r="C275" s="16">
        <v>1</v>
      </c>
      <c r="D275" s="16">
        <v>1</v>
      </c>
      <c r="E275" s="16">
        <v>60</v>
      </c>
    </row>
    <row r="276" spans="1:5" x14ac:dyDescent="0.25">
      <c r="A276" s="6" t="s">
        <v>503</v>
      </c>
      <c r="B276" s="6" t="s">
        <v>506</v>
      </c>
      <c r="C276" s="16">
        <v>1</v>
      </c>
      <c r="D276" s="16">
        <v>8</v>
      </c>
      <c r="E276" s="16">
        <f>198/3</f>
        <v>66</v>
      </c>
    </row>
    <row r="277" spans="1:5" x14ac:dyDescent="0.25">
      <c r="A277" s="6" t="s">
        <v>503</v>
      </c>
      <c r="B277" s="6" t="s">
        <v>507</v>
      </c>
      <c r="C277" s="16">
        <v>1</v>
      </c>
      <c r="D277" s="16">
        <v>27</v>
      </c>
      <c r="E277" s="16">
        <v>42</v>
      </c>
    </row>
    <row r="278" spans="1:5" x14ac:dyDescent="0.25">
      <c r="A278" s="6" t="s">
        <v>503</v>
      </c>
      <c r="B278" s="6" t="s">
        <v>508</v>
      </c>
      <c r="C278" s="16">
        <v>1</v>
      </c>
      <c r="D278" s="16">
        <v>5</v>
      </c>
      <c r="E278" s="16">
        <f>318.75/5</f>
        <v>63.75</v>
      </c>
    </row>
    <row r="279" spans="1:5" x14ac:dyDescent="0.25">
      <c r="A279" s="6" t="s">
        <v>503</v>
      </c>
      <c r="B279" s="6" t="s">
        <v>509</v>
      </c>
      <c r="C279" s="16">
        <v>1</v>
      </c>
      <c r="D279" s="16">
        <v>12</v>
      </c>
      <c r="E279" s="16">
        <v>66</v>
      </c>
    </row>
    <row r="280" spans="1:5" x14ac:dyDescent="0.25">
      <c r="A280" s="6" t="s">
        <v>503</v>
      </c>
      <c r="B280" s="6" t="s">
        <v>510</v>
      </c>
      <c r="C280" s="16">
        <v>1</v>
      </c>
      <c r="D280" s="16">
        <v>33</v>
      </c>
      <c r="E280" s="16">
        <v>42</v>
      </c>
    </row>
    <row r="281" spans="1:5" x14ac:dyDescent="0.25">
      <c r="A281" s="6" t="s">
        <v>503</v>
      </c>
      <c r="B281" s="6" t="s">
        <v>511</v>
      </c>
      <c r="C281" s="16">
        <v>1</v>
      </c>
      <c r="D281" s="16">
        <v>3</v>
      </c>
      <c r="E281" s="16">
        <v>63.75</v>
      </c>
    </row>
    <row r="282" spans="1:5" x14ac:dyDescent="0.25">
      <c r="A282" s="6" t="s">
        <v>503</v>
      </c>
      <c r="B282" s="6" t="s">
        <v>512</v>
      </c>
      <c r="C282" s="16">
        <v>1</v>
      </c>
      <c r="D282" s="16">
        <v>36</v>
      </c>
      <c r="E282" s="16">
        <f>260/5</f>
        <v>52</v>
      </c>
    </row>
    <row r="283" spans="1:5" x14ac:dyDescent="0.25">
      <c r="A283" s="6" t="s">
        <v>503</v>
      </c>
      <c r="B283" s="6" t="s">
        <v>513</v>
      </c>
      <c r="C283" s="16">
        <v>1</v>
      </c>
      <c r="D283" s="16">
        <v>9</v>
      </c>
      <c r="E283" s="16">
        <f>192/3</f>
        <v>64</v>
      </c>
    </row>
    <row r="284" spans="1:5" x14ac:dyDescent="0.25">
      <c r="A284" s="6" t="s">
        <v>503</v>
      </c>
      <c r="B284" s="6" t="s">
        <v>514</v>
      </c>
      <c r="C284" s="16">
        <v>1</v>
      </c>
      <c r="D284" s="16">
        <v>10</v>
      </c>
      <c r="E284" s="16">
        <f>216/3</f>
        <v>72</v>
      </c>
    </row>
    <row r="285" spans="1:5" x14ac:dyDescent="0.25">
      <c r="A285" s="6" t="s">
        <v>503</v>
      </c>
      <c r="B285" s="6" t="s">
        <v>515</v>
      </c>
      <c r="C285" s="16">
        <v>1</v>
      </c>
      <c r="D285" s="16">
        <v>31</v>
      </c>
      <c r="E285" s="16">
        <v>51</v>
      </c>
    </row>
    <row r="286" spans="1:5" x14ac:dyDescent="0.25">
      <c r="A286" s="6" t="s">
        <v>503</v>
      </c>
      <c r="B286" s="6" t="s">
        <v>516</v>
      </c>
      <c r="C286" s="16">
        <v>1</v>
      </c>
      <c r="D286" s="16">
        <v>50</v>
      </c>
      <c r="E286" s="16">
        <f>2800/40</f>
        <v>70</v>
      </c>
    </row>
    <row r="287" spans="1:5" x14ac:dyDescent="0.25">
      <c r="A287" s="6" t="s">
        <v>517</v>
      </c>
      <c r="B287" s="6" t="s">
        <v>518</v>
      </c>
      <c r="C287" s="16">
        <v>1</v>
      </c>
      <c r="D287" s="16">
        <v>11</v>
      </c>
      <c r="E287" s="16">
        <f>336/6</f>
        <v>56</v>
      </c>
    </row>
    <row r="288" spans="1:5" x14ac:dyDescent="0.25">
      <c r="A288" s="6" t="s">
        <v>517</v>
      </c>
      <c r="B288" s="6" t="s">
        <v>519</v>
      </c>
      <c r="C288" s="16">
        <v>1</v>
      </c>
      <c r="D288" s="16">
        <v>7</v>
      </c>
      <c r="E288" s="16">
        <v>62</v>
      </c>
    </row>
    <row r="289" spans="1:5" x14ac:dyDescent="0.25">
      <c r="A289" s="6" t="s">
        <v>517</v>
      </c>
      <c r="B289" s="6" t="s">
        <v>520</v>
      </c>
      <c r="C289" s="16">
        <v>8</v>
      </c>
      <c r="D289" s="16">
        <v>4</v>
      </c>
      <c r="E289" s="16">
        <f>1500/4</f>
        <v>375</v>
      </c>
    </row>
    <row r="290" spans="1:5" x14ac:dyDescent="0.25">
      <c r="A290" s="6" t="s">
        <v>517</v>
      </c>
      <c r="B290" s="6" t="s">
        <v>521</v>
      </c>
      <c r="C290" s="16">
        <v>1</v>
      </c>
      <c r="D290" s="16">
        <v>50</v>
      </c>
      <c r="E290" s="16">
        <v>50</v>
      </c>
    </row>
    <row r="291" spans="1:5" x14ac:dyDescent="0.25">
      <c r="A291" s="6" t="s">
        <v>517</v>
      </c>
      <c r="B291" s="6" t="s">
        <v>522</v>
      </c>
      <c r="C291" s="16">
        <v>1</v>
      </c>
      <c r="D291" s="16">
        <f>21+20+15</f>
        <v>56</v>
      </c>
      <c r="E291" s="16">
        <v>43</v>
      </c>
    </row>
    <row r="292" spans="1:5" x14ac:dyDescent="0.25">
      <c r="A292" s="6" t="s">
        <v>517</v>
      </c>
      <c r="B292" s="6" t="s">
        <v>523</v>
      </c>
      <c r="C292" s="16">
        <v>1</v>
      </c>
      <c r="D292" s="16">
        <v>26</v>
      </c>
      <c r="E292" s="16">
        <v>48</v>
      </c>
    </row>
    <row r="293" spans="1:5" x14ac:dyDescent="0.25">
      <c r="A293" s="6" t="s">
        <v>517</v>
      </c>
      <c r="B293" s="6" t="s">
        <v>524</v>
      </c>
      <c r="C293" s="16">
        <v>1</v>
      </c>
      <c r="D293" s="16">
        <f>40+6+15+15+18</f>
        <v>94</v>
      </c>
      <c r="E293" s="16">
        <v>46</v>
      </c>
    </row>
    <row r="294" spans="1:5" x14ac:dyDescent="0.25">
      <c r="A294" s="6" t="s">
        <v>517</v>
      </c>
      <c r="B294" s="6" t="s">
        <v>525</v>
      </c>
      <c r="C294" s="16">
        <v>1</v>
      </c>
      <c r="D294" s="16">
        <v>15</v>
      </c>
      <c r="E294" s="16">
        <f>168/3</f>
        <v>56</v>
      </c>
    </row>
    <row r="295" spans="1:5" x14ac:dyDescent="0.25">
      <c r="A295" s="6" t="s">
        <v>517</v>
      </c>
      <c r="B295" s="6" t="s">
        <v>526</v>
      </c>
      <c r="C295" s="16">
        <v>1</v>
      </c>
      <c r="D295" s="16">
        <v>23</v>
      </c>
      <c r="E295" s="16">
        <f>156/3</f>
        <v>52</v>
      </c>
    </row>
    <row r="296" spans="1:5" x14ac:dyDescent="0.25">
      <c r="A296" s="6" t="s">
        <v>517</v>
      </c>
      <c r="B296" s="6" t="s">
        <v>527</v>
      </c>
      <c r="C296" s="16">
        <v>1</v>
      </c>
      <c r="D296" s="16">
        <v>92</v>
      </c>
      <c r="E296" s="16">
        <f>464/8</f>
        <v>58</v>
      </c>
    </row>
    <row r="297" spans="1:5" x14ac:dyDescent="0.25">
      <c r="A297" s="6" t="s">
        <v>517</v>
      </c>
      <c r="B297" s="6" t="s">
        <v>528</v>
      </c>
      <c r="C297" s="16">
        <v>1</v>
      </c>
      <c r="D297" s="16">
        <v>45</v>
      </c>
      <c r="E297" s="16">
        <v>58</v>
      </c>
    </row>
    <row r="298" spans="1:5" x14ac:dyDescent="0.25">
      <c r="A298" s="6" t="s">
        <v>517</v>
      </c>
      <c r="B298" s="6" t="s">
        <v>529</v>
      </c>
      <c r="C298" s="16">
        <v>1</v>
      </c>
      <c r="D298" s="16">
        <v>12</v>
      </c>
      <c r="E298" s="16">
        <f>357/6</f>
        <v>59.5</v>
      </c>
    </row>
    <row r="299" spans="1:5" x14ac:dyDescent="0.25">
      <c r="A299" s="6" t="s">
        <v>530</v>
      </c>
      <c r="B299" s="6" t="s">
        <v>531</v>
      </c>
      <c r="C299" s="16">
        <v>1</v>
      </c>
      <c r="D299" s="16">
        <v>115</v>
      </c>
      <c r="E299" s="16">
        <v>102</v>
      </c>
    </row>
    <row r="300" spans="1:5" x14ac:dyDescent="0.25">
      <c r="A300" s="6" t="s">
        <v>532</v>
      </c>
      <c r="B300" s="6" t="s">
        <v>533</v>
      </c>
      <c r="C300" s="16">
        <v>1</v>
      </c>
      <c r="D300" s="16">
        <v>19</v>
      </c>
      <c r="E300" s="16">
        <v>70</v>
      </c>
    </row>
    <row r="301" spans="1:5" x14ac:dyDescent="0.25">
      <c r="A301" s="6" t="s">
        <v>532</v>
      </c>
      <c r="B301" s="6" t="s">
        <v>534</v>
      </c>
      <c r="C301" s="16">
        <v>1</v>
      </c>
      <c r="D301" s="16">
        <v>4</v>
      </c>
      <c r="E301" s="16">
        <f>296/4</f>
        <v>74</v>
      </c>
    </row>
    <row r="302" spans="1:5" x14ac:dyDescent="0.25">
      <c r="A302" s="6" t="s">
        <v>532</v>
      </c>
      <c r="B302" s="6" t="s">
        <v>535</v>
      </c>
      <c r="C302" s="16">
        <v>1</v>
      </c>
      <c r="D302" s="16">
        <f>24+15+60</f>
        <v>99</v>
      </c>
      <c r="E302" s="16">
        <f>330/15</f>
        <v>22</v>
      </c>
    </row>
    <row r="303" spans="1:5" x14ac:dyDescent="0.25">
      <c r="A303" s="6" t="s">
        <v>532</v>
      </c>
      <c r="B303" s="6" t="s">
        <v>536</v>
      </c>
      <c r="C303" s="16">
        <v>1</v>
      </c>
      <c r="D303" s="16">
        <v>21</v>
      </c>
      <c r="E303" s="16">
        <f>220/5</f>
        <v>44</v>
      </c>
    </row>
    <row r="304" spans="1:5" x14ac:dyDescent="0.25">
      <c r="A304" s="6" t="s">
        <v>532</v>
      </c>
      <c r="B304" s="6" t="s">
        <v>537</v>
      </c>
      <c r="C304" s="16">
        <v>1</v>
      </c>
      <c r="D304" s="16">
        <f>14+9</f>
        <v>23</v>
      </c>
      <c r="E304" s="16">
        <f>756/14</f>
        <v>54</v>
      </c>
    </row>
    <row r="305" spans="1:5" x14ac:dyDescent="0.25">
      <c r="A305" s="6" t="s">
        <v>532</v>
      </c>
      <c r="B305" s="6" t="s">
        <v>538</v>
      </c>
      <c r="C305" s="16">
        <v>1</v>
      </c>
      <c r="D305" s="16">
        <v>25</v>
      </c>
      <c r="E305" s="16">
        <v>40</v>
      </c>
    </row>
    <row r="306" spans="1:5" x14ac:dyDescent="0.25">
      <c r="A306" s="6" t="s">
        <v>532</v>
      </c>
      <c r="B306" s="6" t="s">
        <v>539</v>
      </c>
      <c r="C306" s="16">
        <v>10</v>
      </c>
      <c r="D306" s="16">
        <v>29</v>
      </c>
      <c r="E306" s="16">
        <v>139.94999999999999</v>
      </c>
    </row>
    <row r="307" spans="1:5" x14ac:dyDescent="0.25">
      <c r="A307" s="6" t="s">
        <v>532</v>
      </c>
      <c r="B307" s="6" t="s">
        <v>540</v>
      </c>
      <c r="C307" s="16">
        <v>10</v>
      </c>
      <c r="D307" s="16">
        <v>18</v>
      </c>
      <c r="E307" s="16">
        <v>139.94999999999999</v>
      </c>
    </row>
    <row r="308" spans="1:5" x14ac:dyDescent="0.25">
      <c r="A308" s="6" t="s">
        <v>532</v>
      </c>
      <c r="B308" s="6" t="s">
        <v>541</v>
      </c>
      <c r="C308" s="16">
        <v>10</v>
      </c>
      <c r="D308" s="16">
        <v>11</v>
      </c>
      <c r="E308" s="16">
        <v>139.94999999999999</v>
      </c>
    </row>
    <row r="309" spans="1:5" x14ac:dyDescent="0.25">
      <c r="A309" s="6" t="s">
        <v>532</v>
      </c>
      <c r="B309" s="6" t="s">
        <v>542</v>
      </c>
      <c r="C309" s="16">
        <v>10</v>
      </c>
      <c r="D309" s="16">
        <v>11</v>
      </c>
      <c r="E309" s="16">
        <v>139.94999999999999</v>
      </c>
    </row>
    <row r="310" spans="1:5" x14ac:dyDescent="0.25">
      <c r="A310" s="6" t="s">
        <v>532</v>
      </c>
      <c r="B310" s="6" t="s">
        <v>543</v>
      </c>
      <c r="C310" s="16">
        <v>10</v>
      </c>
      <c r="D310" s="16">
        <v>11</v>
      </c>
      <c r="E310" s="16">
        <v>139.94999999999999</v>
      </c>
    </row>
    <row r="311" spans="1:5" x14ac:dyDescent="0.25">
      <c r="A311" s="6" t="s">
        <v>532</v>
      </c>
      <c r="B311" s="6" t="s">
        <v>544</v>
      </c>
      <c r="C311" s="16">
        <v>1</v>
      </c>
      <c r="D311" s="16">
        <f>14+15</f>
        <v>29</v>
      </c>
      <c r="E311" s="16">
        <f>270/5</f>
        <v>54</v>
      </c>
    </row>
    <row r="312" spans="1:5" x14ac:dyDescent="0.25">
      <c r="A312" s="6" t="s">
        <v>532</v>
      </c>
      <c r="B312" s="6" t="s">
        <v>545</v>
      </c>
      <c r="C312" s="16">
        <v>10</v>
      </c>
      <c r="D312" s="16">
        <v>11</v>
      </c>
      <c r="E312" s="16">
        <f>1100/11</f>
        <v>100</v>
      </c>
    </row>
    <row r="313" spans="1:5" x14ac:dyDescent="0.25">
      <c r="A313" s="6" t="s">
        <v>532</v>
      </c>
      <c r="B313" s="6" t="s">
        <v>546</v>
      </c>
      <c r="C313" s="16">
        <v>1</v>
      </c>
      <c r="D313" s="16">
        <v>83</v>
      </c>
      <c r="E313" s="16">
        <v>60</v>
      </c>
    </row>
    <row r="314" spans="1:5" x14ac:dyDescent="0.25">
      <c r="A314" s="6" t="s">
        <v>532</v>
      </c>
      <c r="B314" s="6" t="s">
        <v>547</v>
      </c>
      <c r="C314" s="16">
        <v>1</v>
      </c>
      <c r="D314" s="16">
        <v>11</v>
      </c>
      <c r="E314" s="16">
        <f>930/11</f>
        <v>84.545454545454547</v>
      </c>
    </row>
    <row r="315" spans="1:5" x14ac:dyDescent="0.25">
      <c r="A315" s="6" t="s">
        <v>532</v>
      </c>
      <c r="B315" s="6" t="s">
        <v>548</v>
      </c>
      <c r="C315" s="16">
        <v>1</v>
      </c>
      <c r="D315" s="16">
        <f>19+38</f>
        <v>57</v>
      </c>
      <c r="E315" s="16">
        <v>64</v>
      </c>
    </row>
    <row r="316" spans="1:5" x14ac:dyDescent="0.25">
      <c r="A316" s="6" t="s">
        <v>532</v>
      </c>
      <c r="B316" s="6" t="s">
        <v>549</v>
      </c>
      <c r="C316" s="16">
        <v>1</v>
      </c>
      <c r="D316" s="16">
        <f>29+60+5+9</f>
        <v>103</v>
      </c>
      <c r="E316" s="16">
        <f>390/5</f>
        <v>78</v>
      </c>
    </row>
    <row r="317" spans="1:5" x14ac:dyDescent="0.25">
      <c r="A317" s="6" t="s">
        <v>532</v>
      </c>
      <c r="B317" s="6" t="s">
        <v>550</v>
      </c>
      <c r="C317" s="16">
        <v>10</v>
      </c>
      <c r="D317" s="16">
        <v>129</v>
      </c>
      <c r="E317" s="16">
        <v>134.94999999999999</v>
      </c>
    </row>
    <row r="318" spans="1:5" x14ac:dyDescent="0.25">
      <c r="A318" s="6" t="s">
        <v>532</v>
      </c>
      <c r="B318" s="6" t="s">
        <v>551</v>
      </c>
      <c r="C318" s="16">
        <v>1</v>
      </c>
      <c r="D318" s="16">
        <v>42</v>
      </c>
      <c r="E318" s="16">
        <v>40</v>
      </c>
    </row>
    <row r="319" spans="1:5" x14ac:dyDescent="0.25">
      <c r="A319" s="6" t="s">
        <v>532</v>
      </c>
      <c r="B319" s="6" t="s">
        <v>552</v>
      </c>
      <c r="C319" s="16">
        <v>1</v>
      </c>
      <c r="D319" s="16">
        <v>67</v>
      </c>
      <c r="E319" s="16">
        <v>50</v>
      </c>
    </row>
    <row r="320" spans="1:5" x14ac:dyDescent="0.25">
      <c r="A320" s="6" t="s">
        <v>532</v>
      </c>
      <c r="B320" s="6" t="s">
        <v>553</v>
      </c>
      <c r="C320" s="16">
        <v>1</v>
      </c>
      <c r="D320" s="16">
        <f>30+83</f>
        <v>113</v>
      </c>
      <c r="E320" s="16">
        <f>228/6</f>
        <v>38</v>
      </c>
    </row>
    <row r="321" spans="1:5" x14ac:dyDescent="0.25">
      <c r="A321" s="6" t="s">
        <v>532</v>
      </c>
      <c r="B321" s="6" t="s">
        <v>554</v>
      </c>
      <c r="C321" s="16">
        <v>1</v>
      </c>
      <c r="D321" s="16">
        <f>10+12+39</f>
        <v>61</v>
      </c>
      <c r="E321" s="16">
        <v>54</v>
      </c>
    </row>
    <row r="322" spans="1:5" x14ac:dyDescent="0.25">
      <c r="A322" s="6" t="s">
        <v>532</v>
      </c>
      <c r="B322" s="6" t="s">
        <v>555</v>
      </c>
      <c r="C322" s="16">
        <v>1</v>
      </c>
      <c r="D322" s="16">
        <f>59+24+15+3</f>
        <v>101</v>
      </c>
      <c r="E322" s="16">
        <f>1008/24</f>
        <v>42</v>
      </c>
    </row>
    <row r="323" spans="1:5" x14ac:dyDescent="0.25">
      <c r="A323" s="6" t="s">
        <v>532</v>
      </c>
      <c r="B323" s="6" t="s">
        <v>556</v>
      </c>
      <c r="C323" s="16">
        <v>1</v>
      </c>
      <c r="D323" s="16">
        <v>47</v>
      </c>
      <c r="E323" s="16">
        <v>48</v>
      </c>
    </row>
    <row r="324" spans="1:5" x14ac:dyDescent="0.25">
      <c r="A324" s="6" t="s">
        <v>532</v>
      </c>
      <c r="B324" s="6" t="s">
        <v>557</v>
      </c>
      <c r="C324" s="16">
        <v>1</v>
      </c>
      <c r="D324" s="16">
        <f>10+36+5+55</f>
        <v>106</v>
      </c>
      <c r="E324" s="16">
        <v>40</v>
      </c>
    </row>
    <row r="325" spans="1:5" x14ac:dyDescent="0.25">
      <c r="A325" s="6" t="s">
        <v>532</v>
      </c>
      <c r="B325" s="6" t="s">
        <v>558</v>
      </c>
      <c r="C325" s="16">
        <v>1</v>
      </c>
      <c r="D325" s="16">
        <f>30+15+20</f>
        <v>65</v>
      </c>
      <c r="E325" s="16">
        <v>45</v>
      </c>
    </row>
    <row r="326" spans="1:5" x14ac:dyDescent="0.25">
      <c r="A326" s="6" t="s">
        <v>532</v>
      </c>
      <c r="B326" s="6" t="s">
        <v>559</v>
      </c>
      <c r="C326" s="16">
        <v>1</v>
      </c>
      <c r="D326" s="16">
        <f>20+3+25+22</f>
        <v>70</v>
      </c>
      <c r="E326" s="16">
        <f>144/3</f>
        <v>48</v>
      </c>
    </row>
    <row r="327" spans="1:5" x14ac:dyDescent="0.25">
      <c r="A327" s="6" t="s">
        <v>532</v>
      </c>
      <c r="B327" s="6" t="s">
        <v>560</v>
      </c>
      <c r="C327" s="16">
        <v>1</v>
      </c>
      <c r="D327" s="16">
        <v>30</v>
      </c>
      <c r="E327" s="16">
        <v>50</v>
      </c>
    </row>
    <row r="328" spans="1:5" x14ac:dyDescent="0.25">
      <c r="A328" s="6" t="s">
        <v>532</v>
      </c>
      <c r="B328" s="6" t="s">
        <v>561</v>
      </c>
      <c r="C328" s="16">
        <v>1</v>
      </c>
      <c r="D328" s="16">
        <v>179</v>
      </c>
      <c r="E328" s="16">
        <v>40</v>
      </c>
    </row>
    <row r="329" spans="1:5" x14ac:dyDescent="0.25">
      <c r="A329" s="6" t="s">
        <v>532</v>
      </c>
      <c r="B329" s="6" t="s">
        <v>562</v>
      </c>
      <c r="C329" s="16">
        <v>1</v>
      </c>
      <c r="D329" s="16">
        <v>109</v>
      </c>
      <c r="E329" s="16">
        <v>55</v>
      </c>
    </row>
    <row r="330" spans="1:5" x14ac:dyDescent="0.25">
      <c r="A330" s="6" t="s">
        <v>532</v>
      </c>
      <c r="B330" s="6" t="s">
        <v>563</v>
      </c>
      <c r="C330" s="16">
        <v>1</v>
      </c>
      <c r="D330" s="16">
        <v>26</v>
      </c>
      <c r="E330" s="16">
        <v>48</v>
      </c>
    </row>
    <row r="331" spans="1:5" x14ac:dyDescent="0.25">
      <c r="A331" s="6" t="s">
        <v>532</v>
      </c>
      <c r="B331" s="6" t="s">
        <v>564</v>
      </c>
      <c r="C331" s="16">
        <v>1</v>
      </c>
      <c r="D331" s="16">
        <v>66</v>
      </c>
      <c r="E331" s="16">
        <v>40</v>
      </c>
    </row>
    <row r="332" spans="1:5" x14ac:dyDescent="0.25">
      <c r="A332" s="6" t="s">
        <v>532</v>
      </c>
      <c r="B332" s="6" t="s">
        <v>565</v>
      </c>
      <c r="C332" s="16">
        <v>1</v>
      </c>
      <c r="D332" s="16">
        <f>18+5+22</f>
        <v>45</v>
      </c>
      <c r="E332" s="16">
        <v>45</v>
      </c>
    </row>
    <row r="333" spans="1:5" x14ac:dyDescent="0.25">
      <c r="A333" s="6" t="s">
        <v>532</v>
      </c>
      <c r="B333" s="6" t="s">
        <v>566</v>
      </c>
      <c r="C333" s="16">
        <v>1</v>
      </c>
      <c r="D333" s="16">
        <f>47+5+6</f>
        <v>58</v>
      </c>
      <c r="E333" s="16">
        <v>50</v>
      </c>
    </row>
    <row r="334" spans="1:5" x14ac:dyDescent="0.25">
      <c r="A334" s="6" t="s">
        <v>532</v>
      </c>
      <c r="B334" s="6" t="s">
        <v>567</v>
      </c>
      <c r="C334" s="16">
        <v>1</v>
      </c>
      <c r="D334" s="16">
        <f>121+40+15+9</f>
        <v>185</v>
      </c>
      <c r="E334" s="16">
        <v>40</v>
      </c>
    </row>
    <row r="335" spans="1:5" x14ac:dyDescent="0.25">
      <c r="A335" s="6" t="s">
        <v>532</v>
      </c>
      <c r="B335" s="6" t="s">
        <v>568</v>
      </c>
      <c r="C335" s="16">
        <v>10</v>
      </c>
      <c r="D335" s="16">
        <v>54</v>
      </c>
      <c r="E335" s="16">
        <v>119.95</v>
      </c>
    </row>
    <row r="336" spans="1:5" x14ac:dyDescent="0.25">
      <c r="A336" s="6" t="s">
        <v>532</v>
      </c>
      <c r="B336" s="6" t="s">
        <v>569</v>
      </c>
      <c r="C336" s="16">
        <v>1</v>
      </c>
      <c r="D336" s="16">
        <v>101</v>
      </c>
      <c r="E336" s="16">
        <f>3312/92</f>
        <v>36</v>
      </c>
    </row>
    <row r="337" spans="1:5" x14ac:dyDescent="0.25">
      <c r="A337" s="6" t="s">
        <v>532</v>
      </c>
      <c r="B337" s="6" t="s">
        <v>570</v>
      </c>
      <c r="C337" s="16">
        <v>1</v>
      </c>
      <c r="D337" s="16">
        <v>35</v>
      </c>
      <c r="E337" s="16">
        <f>102/3</f>
        <v>34</v>
      </c>
    </row>
    <row r="338" spans="1:5" x14ac:dyDescent="0.25">
      <c r="A338" s="6" t="s">
        <v>532</v>
      </c>
      <c r="B338" s="6" t="s">
        <v>571</v>
      </c>
      <c r="C338" s="16">
        <v>1</v>
      </c>
      <c r="D338" s="16">
        <v>31</v>
      </c>
      <c r="E338" s="16">
        <v>50</v>
      </c>
    </row>
    <row r="339" spans="1:5" x14ac:dyDescent="0.25">
      <c r="A339" s="6" t="s">
        <v>532</v>
      </c>
      <c r="B339" s="6" t="s">
        <v>572</v>
      </c>
      <c r="C339" s="16">
        <v>10</v>
      </c>
      <c r="D339" s="16">
        <v>35</v>
      </c>
      <c r="E339" s="16">
        <v>119.95</v>
      </c>
    </row>
    <row r="340" spans="1:5" x14ac:dyDescent="0.25">
      <c r="A340" s="6" t="s">
        <v>532</v>
      </c>
      <c r="B340" s="6" t="s">
        <v>573</v>
      </c>
      <c r="C340" s="16">
        <v>1</v>
      </c>
      <c r="D340" s="16">
        <v>64</v>
      </c>
      <c r="E340" s="16">
        <v>36</v>
      </c>
    </row>
    <row r="341" spans="1:5" x14ac:dyDescent="0.25">
      <c r="A341" s="6" t="s">
        <v>532</v>
      </c>
      <c r="B341" s="6" t="s">
        <v>574</v>
      </c>
      <c r="C341" s="16">
        <v>1</v>
      </c>
      <c r="D341" s="16">
        <f>37+10+5+3</f>
        <v>55</v>
      </c>
      <c r="E341" s="16">
        <v>36</v>
      </c>
    </row>
    <row r="342" spans="1:5" x14ac:dyDescent="0.25">
      <c r="A342" s="6" t="s">
        <v>532</v>
      </c>
      <c r="B342" s="6" t="s">
        <v>575</v>
      </c>
      <c r="C342" s="16">
        <v>1</v>
      </c>
      <c r="D342" s="16">
        <f>47+5+6</f>
        <v>58</v>
      </c>
      <c r="E342" s="16">
        <v>50</v>
      </c>
    </row>
    <row r="343" spans="1:5" x14ac:dyDescent="0.25">
      <c r="A343" s="6" t="s">
        <v>532</v>
      </c>
      <c r="B343" s="6" t="s">
        <v>577</v>
      </c>
      <c r="C343" s="16">
        <v>1</v>
      </c>
      <c r="D343" s="16">
        <v>9</v>
      </c>
      <c r="E343" s="16">
        <f>200/5</f>
        <v>40</v>
      </c>
    </row>
    <row r="344" spans="1:5" x14ac:dyDescent="0.25">
      <c r="A344" s="6" t="s">
        <v>532</v>
      </c>
      <c r="B344" s="6" t="s">
        <v>578</v>
      </c>
      <c r="C344" s="16">
        <v>1</v>
      </c>
      <c r="D344" s="16">
        <v>16</v>
      </c>
      <c r="E344" s="16">
        <v>30</v>
      </c>
    </row>
    <row r="345" spans="1:5" x14ac:dyDescent="0.25">
      <c r="A345" s="6" t="s">
        <v>532</v>
      </c>
      <c r="B345" s="6" t="s">
        <v>576</v>
      </c>
      <c r="C345" s="16">
        <v>10</v>
      </c>
      <c r="D345" s="16">
        <v>5</v>
      </c>
      <c r="E345" s="16">
        <v>99.95</v>
      </c>
    </row>
    <row r="346" spans="1:5" x14ac:dyDescent="0.25">
      <c r="A346" s="6" t="s">
        <v>532</v>
      </c>
      <c r="B346" s="6" t="s">
        <v>579</v>
      </c>
      <c r="C346" s="16">
        <v>1</v>
      </c>
      <c r="D346" s="16">
        <v>30</v>
      </c>
      <c r="E346" s="16">
        <f>190/5</f>
        <v>38</v>
      </c>
    </row>
    <row r="347" spans="1:5" x14ac:dyDescent="0.25">
      <c r="A347" s="6" t="s">
        <v>532</v>
      </c>
      <c r="B347" s="6" t="s">
        <v>580</v>
      </c>
      <c r="C347" s="16">
        <v>1</v>
      </c>
      <c r="D347" s="16">
        <v>1</v>
      </c>
      <c r="E347" s="16">
        <v>32.4</v>
      </c>
    </row>
    <row r="348" spans="1:5" x14ac:dyDescent="0.25">
      <c r="A348" s="6" t="s">
        <v>532</v>
      </c>
      <c r="B348" s="6" t="s">
        <v>581</v>
      </c>
      <c r="C348" s="16">
        <v>1</v>
      </c>
      <c r="D348" s="16">
        <v>59</v>
      </c>
      <c r="E348" s="16">
        <v>38</v>
      </c>
    </row>
    <row r="349" spans="1:5" x14ac:dyDescent="0.25">
      <c r="A349" s="6" t="s">
        <v>532</v>
      </c>
      <c r="B349" s="6" t="s">
        <v>582</v>
      </c>
      <c r="C349" s="16">
        <v>1</v>
      </c>
      <c r="D349" s="16">
        <v>2</v>
      </c>
      <c r="E349" s="16">
        <v>32.4</v>
      </c>
    </row>
    <row r="350" spans="1:5" x14ac:dyDescent="0.25">
      <c r="A350" s="6" t="s">
        <v>532</v>
      </c>
      <c r="B350" s="6" t="s">
        <v>583</v>
      </c>
      <c r="C350" s="16">
        <v>1</v>
      </c>
      <c r="D350" s="16">
        <v>39</v>
      </c>
      <c r="E350" s="16">
        <v>38</v>
      </c>
    </row>
    <row r="351" spans="1:5" x14ac:dyDescent="0.25">
      <c r="A351" s="6" t="s">
        <v>532</v>
      </c>
      <c r="B351" s="6" t="s">
        <v>584</v>
      </c>
      <c r="C351" s="16">
        <v>1</v>
      </c>
      <c r="D351" s="16">
        <v>53</v>
      </c>
      <c r="E351" s="16">
        <v>40</v>
      </c>
    </row>
    <row r="352" spans="1:5" x14ac:dyDescent="0.25">
      <c r="A352" s="6" t="s">
        <v>532</v>
      </c>
      <c r="B352" s="6" t="s">
        <v>585</v>
      </c>
      <c r="C352" s="16">
        <v>1</v>
      </c>
      <c r="D352" s="16">
        <v>29</v>
      </c>
      <c r="E352" s="16">
        <v>100</v>
      </c>
    </row>
    <row r="353" spans="1:5" x14ac:dyDescent="0.25">
      <c r="A353" s="6" t="s">
        <v>532</v>
      </c>
      <c r="B353" s="6" t="s">
        <v>586</v>
      </c>
      <c r="C353" s="16">
        <v>10</v>
      </c>
      <c r="D353" s="16">
        <v>21</v>
      </c>
      <c r="E353" s="16">
        <f>2940/21</f>
        <v>140</v>
      </c>
    </row>
    <row r="354" spans="1:5" x14ac:dyDescent="0.25">
      <c r="A354" s="6" t="s">
        <v>532</v>
      </c>
      <c r="B354" s="6" t="s">
        <v>587</v>
      </c>
      <c r="C354" s="16">
        <v>1</v>
      </c>
      <c r="D354" s="16">
        <v>8</v>
      </c>
      <c r="E354" s="16">
        <v>68</v>
      </c>
    </row>
    <row r="355" spans="1:5" x14ac:dyDescent="0.25">
      <c r="A355" s="6" t="s">
        <v>532</v>
      </c>
      <c r="B355" s="6" t="s">
        <v>588</v>
      </c>
      <c r="C355" s="16">
        <v>1</v>
      </c>
      <c r="D355" s="16">
        <v>2</v>
      </c>
      <c r="E355" s="16">
        <f>96/2</f>
        <v>48</v>
      </c>
    </row>
    <row r="356" spans="1:5" x14ac:dyDescent="0.25">
      <c r="A356" s="6" t="s">
        <v>532</v>
      </c>
      <c r="B356" s="6" t="s">
        <v>589</v>
      </c>
      <c r="C356" s="16">
        <v>1</v>
      </c>
      <c r="D356" s="16">
        <v>3</v>
      </c>
      <c r="E356" s="16">
        <f>198/3</f>
        <v>66</v>
      </c>
    </row>
    <row r="357" spans="1:5" x14ac:dyDescent="0.25">
      <c r="A357" s="6" t="s">
        <v>532</v>
      </c>
      <c r="B357" s="6" t="s">
        <v>590</v>
      </c>
      <c r="C357" s="16">
        <v>10</v>
      </c>
      <c r="D357" s="16">
        <v>41</v>
      </c>
      <c r="E357" s="16">
        <v>140</v>
      </c>
    </row>
    <row r="358" spans="1:5" x14ac:dyDescent="0.25">
      <c r="A358" s="6" t="s">
        <v>532</v>
      </c>
      <c r="B358" s="6" t="s">
        <v>591</v>
      </c>
      <c r="C358" s="16">
        <v>1</v>
      </c>
      <c r="D358" s="16">
        <v>10</v>
      </c>
      <c r="E358" s="16">
        <v>68</v>
      </c>
    </row>
    <row r="359" spans="1:5" x14ac:dyDescent="0.25">
      <c r="A359" s="6" t="s">
        <v>532</v>
      </c>
      <c r="B359" s="6" t="s">
        <v>592</v>
      </c>
      <c r="C359" s="16">
        <v>1</v>
      </c>
      <c r="D359" s="16">
        <f>10+6+10+19</f>
        <v>45</v>
      </c>
      <c r="E359" s="16">
        <v>48</v>
      </c>
    </row>
    <row r="360" spans="1:5" x14ac:dyDescent="0.25">
      <c r="A360" s="6" t="s">
        <v>532</v>
      </c>
      <c r="B360" s="6" t="s">
        <v>593</v>
      </c>
      <c r="C360" s="16">
        <v>1</v>
      </c>
      <c r="D360" s="16">
        <v>26</v>
      </c>
      <c r="E360" s="16">
        <v>66</v>
      </c>
    </row>
    <row r="361" spans="1:5" x14ac:dyDescent="0.25">
      <c r="A361" s="6" t="s">
        <v>532</v>
      </c>
      <c r="B361" s="6" t="s">
        <v>594</v>
      </c>
      <c r="C361" s="16">
        <v>1</v>
      </c>
      <c r="D361" s="16">
        <v>8</v>
      </c>
      <c r="E361" s="16">
        <v>98</v>
      </c>
    </row>
    <row r="362" spans="1:5" x14ac:dyDescent="0.25">
      <c r="A362" s="6" t="s">
        <v>532</v>
      </c>
      <c r="B362" s="6" t="s">
        <v>595</v>
      </c>
      <c r="C362" s="16">
        <v>1</v>
      </c>
      <c r="D362" s="16">
        <v>12</v>
      </c>
      <c r="E362" s="16">
        <f>720/12</f>
        <v>60</v>
      </c>
    </row>
    <row r="363" spans="1:5" x14ac:dyDescent="0.25">
      <c r="A363" s="6" t="s">
        <v>532</v>
      </c>
      <c r="B363" s="6" t="s">
        <v>596</v>
      </c>
      <c r="C363" s="16">
        <v>1</v>
      </c>
      <c r="D363" s="16">
        <v>59</v>
      </c>
      <c r="E363" s="16">
        <v>40</v>
      </c>
    </row>
    <row r="364" spans="1:5" x14ac:dyDescent="0.25">
      <c r="A364" s="6" t="s">
        <v>532</v>
      </c>
      <c r="B364" s="6" t="s">
        <v>597</v>
      </c>
      <c r="C364" s="16">
        <v>1</v>
      </c>
      <c r="D364" s="16">
        <v>3</v>
      </c>
      <c r="E364" s="16">
        <v>40</v>
      </c>
    </row>
    <row r="365" spans="1:5" x14ac:dyDescent="0.25">
      <c r="A365" s="6" t="s">
        <v>532</v>
      </c>
      <c r="B365" s="6" t="s">
        <v>598</v>
      </c>
      <c r="C365" s="16">
        <v>1</v>
      </c>
      <c r="D365" s="16">
        <v>8</v>
      </c>
      <c r="E365" s="16">
        <f>216/3</f>
        <v>72</v>
      </c>
    </row>
    <row r="366" spans="1:5" x14ac:dyDescent="0.25">
      <c r="A366" s="6" t="s">
        <v>532</v>
      </c>
      <c r="B366" s="6" t="s">
        <v>599</v>
      </c>
      <c r="C366" s="16">
        <v>1</v>
      </c>
      <c r="D366" s="16">
        <v>7</v>
      </c>
      <c r="E366" s="16">
        <v>80</v>
      </c>
    </row>
    <row r="367" spans="1:5" x14ac:dyDescent="0.25">
      <c r="A367" s="6" t="s">
        <v>532</v>
      </c>
      <c r="B367" s="6" t="s">
        <v>600</v>
      </c>
      <c r="C367" s="16">
        <v>1</v>
      </c>
      <c r="D367" s="16">
        <v>8</v>
      </c>
      <c r="E367" s="16">
        <f>350/5</f>
        <v>70</v>
      </c>
    </row>
    <row r="368" spans="1:5" x14ac:dyDescent="0.25">
      <c r="A368" s="6" t="s">
        <v>532</v>
      </c>
      <c r="B368" s="6" t="s">
        <v>601</v>
      </c>
      <c r="C368" s="16">
        <v>1</v>
      </c>
      <c r="D368" s="16">
        <f>10+3+5+10</f>
        <v>28</v>
      </c>
      <c r="E368" s="16">
        <v>48</v>
      </c>
    </row>
    <row r="369" spans="1:5" x14ac:dyDescent="0.25">
      <c r="A369" s="6" t="s">
        <v>532</v>
      </c>
      <c r="B369" s="6" t="s">
        <v>602</v>
      </c>
      <c r="C369" s="16">
        <v>1</v>
      </c>
      <c r="D369" s="16">
        <f>24+10+36</f>
        <v>70</v>
      </c>
      <c r="E369" s="16">
        <v>60</v>
      </c>
    </row>
    <row r="370" spans="1:5" x14ac:dyDescent="0.25">
      <c r="A370" s="6" t="s">
        <v>532</v>
      </c>
      <c r="B370" s="6" t="s">
        <v>603</v>
      </c>
      <c r="C370" s="16">
        <v>1</v>
      </c>
      <c r="D370" s="16">
        <f>10+21+5+20</f>
        <v>56</v>
      </c>
      <c r="E370" s="16">
        <v>32</v>
      </c>
    </row>
    <row r="371" spans="1:5" x14ac:dyDescent="0.25">
      <c r="A371" s="6" t="s">
        <v>532</v>
      </c>
      <c r="B371" s="6" t="s">
        <v>604</v>
      </c>
      <c r="C371" s="16">
        <v>1</v>
      </c>
      <c r="D371" s="16">
        <f>9+15</f>
        <v>24</v>
      </c>
      <c r="E371" s="16">
        <f>600/15</f>
        <v>40</v>
      </c>
    </row>
    <row r="372" spans="1:5" x14ac:dyDescent="0.25">
      <c r="A372" s="6" t="s">
        <v>532</v>
      </c>
      <c r="B372" s="6" t="s">
        <v>606</v>
      </c>
      <c r="C372" s="16">
        <v>1</v>
      </c>
      <c r="D372" s="16">
        <v>15</v>
      </c>
      <c r="E372" s="16">
        <f>930/15</f>
        <v>62</v>
      </c>
    </row>
    <row r="373" spans="1:5" x14ac:dyDescent="0.25">
      <c r="A373" s="6" t="s">
        <v>532</v>
      </c>
      <c r="B373" s="6" t="s">
        <v>607</v>
      </c>
      <c r="C373" s="16">
        <v>1</v>
      </c>
      <c r="D373" s="16">
        <v>22</v>
      </c>
      <c r="E373" s="16">
        <f>144/3</f>
        <v>48</v>
      </c>
    </row>
    <row r="374" spans="1:5" x14ac:dyDescent="0.25">
      <c r="A374" s="6" t="s">
        <v>532</v>
      </c>
      <c r="B374" s="6" t="s">
        <v>608</v>
      </c>
      <c r="C374" s="16">
        <v>1</v>
      </c>
      <c r="D374" s="16">
        <v>12</v>
      </c>
      <c r="E374" s="16">
        <f>360/5</f>
        <v>72</v>
      </c>
    </row>
    <row r="375" spans="1:5" x14ac:dyDescent="0.25">
      <c r="A375" s="6" t="s">
        <v>532</v>
      </c>
      <c r="B375" s="6" t="s">
        <v>609</v>
      </c>
      <c r="C375" s="16">
        <v>1</v>
      </c>
      <c r="D375" s="16">
        <v>104</v>
      </c>
      <c r="E375" s="16">
        <v>62</v>
      </c>
    </row>
    <row r="376" spans="1:5" x14ac:dyDescent="0.25">
      <c r="A376" s="6" t="s">
        <v>532</v>
      </c>
      <c r="B376" s="6" t="s">
        <v>605</v>
      </c>
      <c r="C376" s="16">
        <v>1</v>
      </c>
      <c r="D376" s="16">
        <v>42</v>
      </c>
      <c r="E376" s="16">
        <v>82</v>
      </c>
    </row>
    <row r="377" spans="1:5" x14ac:dyDescent="0.25">
      <c r="A377" s="6" t="s">
        <v>532</v>
      </c>
      <c r="B377" s="6" t="s">
        <v>610</v>
      </c>
      <c r="C377" s="16">
        <v>1</v>
      </c>
      <c r="D377" s="16">
        <v>14</v>
      </c>
      <c r="E377" s="16">
        <f>644/14</f>
        <v>46</v>
      </c>
    </row>
    <row r="378" spans="1:5" x14ac:dyDescent="0.25">
      <c r="A378" s="6" t="s">
        <v>532</v>
      </c>
      <c r="B378" s="6" t="s">
        <v>611</v>
      </c>
      <c r="C378" s="16">
        <v>10</v>
      </c>
      <c r="D378" s="16">
        <v>43</v>
      </c>
      <c r="E378" s="16">
        <f>5157.85/43</f>
        <v>119.95</v>
      </c>
    </row>
    <row r="379" spans="1:5" x14ac:dyDescent="0.25">
      <c r="A379" s="6" t="s">
        <v>532</v>
      </c>
      <c r="B379" s="6" t="s">
        <v>612</v>
      </c>
      <c r="C379" s="16">
        <v>1</v>
      </c>
      <c r="D379" s="16">
        <v>18</v>
      </c>
      <c r="E379" s="16">
        <f>110/5</f>
        <v>22</v>
      </c>
    </row>
    <row r="380" spans="1:5" x14ac:dyDescent="0.25">
      <c r="A380" s="6" t="s">
        <v>532</v>
      </c>
      <c r="B380" s="6" t="s">
        <v>613</v>
      </c>
      <c r="C380" s="16">
        <v>1</v>
      </c>
      <c r="D380" s="16">
        <v>22</v>
      </c>
      <c r="E380" s="16">
        <v>46</v>
      </c>
    </row>
    <row r="381" spans="1:5" x14ac:dyDescent="0.25">
      <c r="A381" s="6" t="s">
        <v>532</v>
      </c>
      <c r="B381" s="6" t="s">
        <v>614</v>
      </c>
      <c r="C381" s="16">
        <v>10</v>
      </c>
      <c r="D381" s="16">
        <v>32</v>
      </c>
      <c r="E381" s="16">
        <v>119.95</v>
      </c>
    </row>
    <row r="382" spans="1:5" x14ac:dyDescent="0.25">
      <c r="A382" s="6" t="s">
        <v>532</v>
      </c>
      <c r="B382" s="6" t="s">
        <v>615</v>
      </c>
      <c r="C382" s="16">
        <v>1</v>
      </c>
      <c r="D382" s="16">
        <v>18</v>
      </c>
      <c r="E382" s="16">
        <v>22</v>
      </c>
    </row>
    <row r="383" spans="1:5" x14ac:dyDescent="0.25">
      <c r="A383" s="6" t="s">
        <v>532</v>
      </c>
      <c r="B383" s="6" t="s">
        <v>616</v>
      </c>
      <c r="C383" s="16">
        <v>1</v>
      </c>
      <c r="D383" s="16">
        <v>3</v>
      </c>
      <c r="E383" s="16">
        <v>70</v>
      </c>
    </row>
    <row r="384" spans="1:5" x14ac:dyDescent="0.25">
      <c r="A384" s="6" t="s">
        <v>532</v>
      </c>
      <c r="B384" s="6" t="s">
        <v>617</v>
      </c>
      <c r="C384" s="16">
        <v>1</v>
      </c>
      <c r="D384" s="16">
        <f>24+25+37</f>
        <v>86</v>
      </c>
      <c r="E384" s="16">
        <v>39</v>
      </c>
    </row>
    <row r="385" spans="1:5" x14ac:dyDescent="0.25">
      <c r="A385" s="6" t="s">
        <v>532</v>
      </c>
      <c r="B385" s="6" t="s">
        <v>618</v>
      </c>
      <c r="C385" s="16">
        <v>1</v>
      </c>
      <c r="D385" s="16">
        <v>46</v>
      </c>
      <c r="E385" s="16">
        <v>54</v>
      </c>
    </row>
    <row r="386" spans="1:5" x14ac:dyDescent="0.25">
      <c r="A386" s="6" t="s">
        <v>532</v>
      </c>
      <c r="B386" s="6" t="s">
        <v>619</v>
      </c>
      <c r="C386" s="16">
        <v>1</v>
      </c>
      <c r="D386" s="16">
        <v>48</v>
      </c>
      <c r="E386" s="16">
        <v>59.95</v>
      </c>
    </row>
    <row r="387" spans="1:5" x14ac:dyDescent="0.25">
      <c r="A387" s="6" t="s">
        <v>532</v>
      </c>
      <c r="B387" s="6" t="s">
        <v>620</v>
      </c>
      <c r="C387" s="16">
        <v>10</v>
      </c>
      <c r="D387" s="16">
        <v>29</v>
      </c>
      <c r="E387" s="16">
        <v>134.94999999999999</v>
      </c>
    </row>
    <row r="388" spans="1:5" x14ac:dyDescent="0.25">
      <c r="A388" s="6" t="s">
        <v>532</v>
      </c>
      <c r="B388" s="6" t="s">
        <v>621</v>
      </c>
      <c r="C388" s="16">
        <v>1</v>
      </c>
      <c r="D388" s="16">
        <v>12</v>
      </c>
      <c r="E388" s="16">
        <f>228/3</f>
        <v>76</v>
      </c>
    </row>
    <row r="389" spans="1:5" x14ac:dyDescent="0.25">
      <c r="A389" s="6" t="s">
        <v>532</v>
      </c>
      <c r="B389" s="6" t="s">
        <v>622</v>
      </c>
      <c r="C389" s="16">
        <v>1</v>
      </c>
      <c r="D389" s="16">
        <v>6</v>
      </c>
      <c r="E389" s="16">
        <v>63.8</v>
      </c>
    </row>
    <row r="390" spans="1:5" x14ac:dyDescent="0.25">
      <c r="A390" s="6" t="s">
        <v>532</v>
      </c>
      <c r="B390" s="6" t="s">
        <v>623</v>
      </c>
      <c r="C390" s="16">
        <v>1</v>
      </c>
      <c r="D390" s="16">
        <f>10+6+20+17</f>
        <v>53</v>
      </c>
      <c r="E390" s="16">
        <v>64</v>
      </c>
    </row>
    <row r="391" spans="1:5" x14ac:dyDescent="0.25">
      <c r="A391" s="6" t="s">
        <v>532</v>
      </c>
      <c r="B391" s="6" t="s">
        <v>624</v>
      </c>
      <c r="C391" s="16">
        <v>1</v>
      </c>
      <c r="D391" s="16">
        <f>18+10+36</f>
        <v>64</v>
      </c>
      <c r="E391" s="16">
        <v>36</v>
      </c>
    </row>
    <row r="392" spans="1:5" x14ac:dyDescent="0.25">
      <c r="A392" s="6" t="s">
        <v>532</v>
      </c>
      <c r="B392" s="6" t="s">
        <v>625</v>
      </c>
      <c r="C392" s="16">
        <v>1</v>
      </c>
      <c r="D392" s="16">
        <f>12+10+25</f>
        <v>47</v>
      </c>
      <c r="E392" s="16">
        <v>52</v>
      </c>
    </row>
    <row r="393" spans="1:5" x14ac:dyDescent="0.25">
      <c r="A393" s="6" t="s">
        <v>532</v>
      </c>
      <c r="B393" s="6" t="s">
        <v>626</v>
      </c>
      <c r="C393" s="16">
        <v>1</v>
      </c>
      <c r="D393" s="16">
        <v>6</v>
      </c>
      <c r="E393" s="16">
        <v>60</v>
      </c>
    </row>
    <row r="394" spans="1:5" x14ac:dyDescent="0.25">
      <c r="A394" s="6" t="s">
        <v>532</v>
      </c>
      <c r="B394" s="6" t="s">
        <v>627</v>
      </c>
      <c r="C394" s="16">
        <v>10</v>
      </c>
      <c r="D394" s="16">
        <v>26</v>
      </c>
      <c r="E394" s="16">
        <v>134.94999999999999</v>
      </c>
    </row>
    <row r="395" spans="1:5" x14ac:dyDescent="0.25">
      <c r="A395" s="6" t="s">
        <v>532</v>
      </c>
      <c r="B395" s="6" t="s">
        <v>628</v>
      </c>
      <c r="C395" s="16">
        <v>1</v>
      </c>
      <c r="D395" s="16">
        <v>5</v>
      </c>
      <c r="E395" s="16">
        <v>63.8</v>
      </c>
    </row>
    <row r="396" spans="1:5" x14ac:dyDescent="0.25">
      <c r="A396" s="6" t="s">
        <v>532</v>
      </c>
      <c r="B396" s="6" t="s">
        <v>629</v>
      </c>
      <c r="C396" s="16">
        <v>1</v>
      </c>
      <c r="D396" s="16">
        <v>15</v>
      </c>
      <c r="E396" s="16">
        <v>64</v>
      </c>
    </row>
    <row r="397" spans="1:5" x14ac:dyDescent="0.25">
      <c r="A397" s="6" t="s">
        <v>532</v>
      </c>
      <c r="B397" s="6" t="s">
        <v>630</v>
      </c>
      <c r="C397" s="16">
        <v>1</v>
      </c>
      <c r="D397" s="16">
        <v>1</v>
      </c>
      <c r="E397" s="16">
        <v>60</v>
      </c>
    </row>
    <row r="398" spans="1:5" x14ac:dyDescent="0.25">
      <c r="A398" s="6" t="s">
        <v>532</v>
      </c>
      <c r="B398" s="6" t="s">
        <v>631</v>
      </c>
      <c r="C398" s="16">
        <v>1</v>
      </c>
      <c r="D398" s="16">
        <f>6+10+40</f>
        <v>56</v>
      </c>
      <c r="E398" s="16">
        <v>36</v>
      </c>
    </row>
    <row r="399" spans="1:5" x14ac:dyDescent="0.25">
      <c r="A399" s="6" t="s">
        <v>532</v>
      </c>
      <c r="B399" s="6" t="s">
        <v>632</v>
      </c>
      <c r="C399" s="16">
        <v>1</v>
      </c>
      <c r="D399" s="16">
        <f>20+15+5+23</f>
        <v>63</v>
      </c>
      <c r="E399" s="16">
        <v>52</v>
      </c>
    </row>
    <row r="400" spans="1:5" x14ac:dyDescent="0.25">
      <c r="A400" s="6" t="s">
        <v>532</v>
      </c>
      <c r="B400" s="6" t="s">
        <v>633</v>
      </c>
      <c r="C400" s="16">
        <v>10</v>
      </c>
      <c r="D400" s="16">
        <v>8</v>
      </c>
      <c r="E400" s="16">
        <v>134.94999999999999</v>
      </c>
    </row>
    <row r="401" spans="1:5" x14ac:dyDescent="0.25">
      <c r="A401" s="6" t="s">
        <v>532</v>
      </c>
      <c r="B401" s="6" t="s">
        <v>634</v>
      </c>
      <c r="C401" s="16">
        <v>1</v>
      </c>
      <c r="D401" s="16">
        <v>9</v>
      </c>
      <c r="E401" s="16">
        <v>56.5</v>
      </c>
    </row>
    <row r="402" spans="1:5" x14ac:dyDescent="0.25">
      <c r="A402" s="6" t="s">
        <v>532</v>
      </c>
      <c r="B402" s="6" t="s">
        <v>635</v>
      </c>
      <c r="C402" s="16">
        <v>1</v>
      </c>
      <c r="D402" s="16">
        <v>7</v>
      </c>
      <c r="E402" s="16">
        <f>186/3</f>
        <v>62</v>
      </c>
    </row>
    <row r="403" spans="1:5" x14ac:dyDescent="0.25">
      <c r="A403" s="6" t="s">
        <v>532</v>
      </c>
      <c r="B403" s="6" t="s">
        <v>636</v>
      </c>
      <c r="C403" s="16">
        <v>1</v>
      </c>
      <c r="D403" s="16">
        <v>34</v>
      </c>
      <c r="E403" s="16">
        <f>780/15</f>
        <v>52</v>
      </c>
    </row>
    <row r="404" spans="1:5" x14ac:dyDescent="0.25">
      <c r="A404" s="6" t="s">
        <v>637</v>
      </c>
      <c r="B404" s="6" t="s">
        <v>638</v>
      </c>
      <c r="C404" s="16">
        <v>1</v>
      </c>
      <c r="D404" s="16">
        <v>17</v>
      </c>
      <c r="E404" s="16">
        <f>850/17</f>
        <v>50</v>
      </c>
    </row>
    <row r="405" spans="1:5" x14ac:dyDescent="0.25">
      <c r="A405" s="6" t="s">
        <v>637</v>
      </c>
      <c r="B405" s="6" t="s">
        <v>640</v>
      </c>
      <c r="C405" s="16">
        <v>1</v>
      </c>
      <c r="D405" s="16">
        <f>17+16</f>
        <v>33</v>
      </c>
      <c r="E405" s="16">
        <v>52</v>
      </c>
    </row>
    <row r="406" spans="1:5" x14ac:dyDescent="0.25">
      <c r="A406" s="6" t="s">
        <v>637</v>
      </c>
      <c r="B406" s="6" t="s">
        <v>639</v>
      </c>
      <c r="C406" s="16">
        <v>1</v>
      </c>
      <c r="D406" s="16">
        <f>6+5+5</f>
        <v>16</v>
      </c>
      <c r="E406" s="16">
        <f>240/5</f>
        <v>48</v>
      </c>
    </row>
    <row r="407" spans="1:5" x14ac:dyDescent="0.25">
      <c r="A407" s="6" t="s">
        <v>637</v>
      </c>
      <c r="B407" s="6" t="s">
        <v>641</v>
      </c>
      <c r="C407" s="16">
        <v>1</v>
      </c>
      <c r="D407" s="16">
        <v>12</v>
      </c>
      <c r="E407" s="16">
        <f>384/6</f>
        <v>64</v>
      </c>
    </row>
    <row r="408" spans="1:5" x14ac:dyDescent="0.25">
      <c r="A408" s="6" t="s">
        <v>637</v>
      </c>
      <c r="B408" s="6" t="s">
        <v>642</v>
      </c>
      <c r="C408" s="16">
        <v>1</v>
      </c>
      <c r="D408" s="16">
        <v>8</v>
      </c>
      <c r="E408" s="16">
        <v>72</v>
      </c>
    </row>
    <row r="409" spans="1:5" x14ac:dyDescent="0.25">
      <c r="A409" s="6" t="s">
        <v>637</v>
      </c>
      <c r="B409" s="6" t="s">
        <v>643</v>
      </c>
      <c r="C409" s="16">
        <v>1</v>
      </c>
      <c r="D409" s="16">
        <v>8</v>
      </c>
      <c r="E409" s="16">
        <v>68</v>
      </c>
    </row>
    <row r="410" spans="1:5" x14ac:dyDescent="0.25">
      <c r="A410" s="6" t="s">
        <v>637</v>
      </c>
      <c r="B410" s="6" t="s">
        <v>644</v>
      </c>
      <c r="C410" s="16">
        <v>1</v>
      </c>
      <c r="D410" s="16">
        <f>6+5+26+26</f>
        <v>63</v>
      </c>
      <c r="E410" s="16">
        <f>240/5</f>
        <v>48</v>
      </c>
    </row>
    <row r="411" spans="1:5" x14ac:dyDescent="0.25">
      <c r="A411" s="6" t="s">
        <v>637</v>
      </c>
      <c r="B411" s="6" t="s">
        <v>645</v>
      </c>
      <c r="C411" s="16">
        <v>1</v>
      </c>
      <c r="D411" s="16">
        <f>24+10+13+53</f>
        <v>100</v>
      </c>
      <c r="E411" s="16">
        <v>50</v>
      </c>
    </row>
    <row r="412" spans="1:5" x14ac:dyDescent="0.25">
      <c r="A412" s="6" t="s">
        <v>637</v>
      </c>
      <c r="B412" s="6" t="s">
        <v>646</v>
      </c>
      <c r="C412" s="16">
        <v>1</v>
      </c>
      <c r="D412" s="16">
        <f>3+15+32</f>
        <v>50</v>
      </c>
      <c r="E412" s="16">
        <f>162/3</f>
        <v>54</v>
      </c>
    </row>
    <row r="413" spans="1:5" x14ac:dyDescent="0.25">
      <c r="A413" s="6" t="s">
        <v>637</v>
      </c>
      <c r="B413" s="6" t="s">
        <v>647</v>
      </c>
      <c r="C413" s="16">
        <v>1</v>
      </c>
      <c r="D413" s="16">
        <f>19+32</f>
        <v>51</v>
      </c>
      <c r="E413" s="16">
        <v>48</v>
      </c>
    </row>
    <row r="414" spans="1:5" x14ac:dyDescent="0.25">
      <c r="A414" s="6" t="s">
        <v>637</v>
      </c>
      <c r="B414" s="6" t="s">
        <v>648</v>
      </c>
      <c r="C414" s="16">
        <v>1</v>
      </c>
      <c r="D414" s="16">
        <f>9+20+10+7</f>
        <v>46</v>
      </c>
      <c r="E414" s="16">
        <v>45</v>
      </c>
    </row>
    <row r="415" spans="1:5" x14ac:dyDescent="0.25">
      <c r="A415" s="6" t="s">
        <v>637</v>
      </c>
      <c r="B415" s="6" t="s">
        <v>649</v>
      </c>
      <c r="C415" s="16">
        <v>1</v>
      </c>
      <c r="D415" s="16">
        <v>5</v>
      </c>
      <c r="E415" s="16">
        <v>50</v>
      </c>
    </row>
    <row r="416" spans="1:5" x14ac:dyDescent="0.25">
      <c r="A416" s="6" t="s">
        <v>637</v>
      </c>
      <c r="B416" s="6" t="s">
        <v>655</v>
      </c>
      <c r="C416" s="16">
        <v>1</v>
      </c>
      <c r="D416" s="16">
        <v>77</v>
      </c>
      <c r="E416" s="16">
        <v>80</v>
      </c>
    </row>
    <row r="417" spans="1:5" x14ac:dyDescent="0.25">
      <c r="A417" s="6" t="s">
        <v>637</v>
      </c>
      <c r="B417" s="6" t="s">
        <v>650</v>
      </c>
      <c r="C417" s="16">
        <v>1</v>
      </c>
      <c r="D417" s="16">
        <v>8</v>
      </c>
      <c r="E417" s="16">
        <f>350/5</f>
        <v>70</v>
      </c>
    </row>
    <row r="418" spans="1:5" x14ac:dyDescent="0.25">
      <c r="A418" s="6" t="s">
        <v>637</v>
      </c>
      <c r="B418" s="6" t="s">
        <v>651</v>
      </c>
      <c r="C418" s="16">
        <v>1</v>
      </c>
      <c r="D418" s="16">
        <v>4</v>
      </c>
      <c r="E418" s="16">
        <v>70</v>
      </c>
    </row>
    <row r="419" spans="1:5" x14ac:dyDescent="0.25">
      <c r="A419" s="6" t="s">
        <v>637</v>
      </c>
      <c r="B419" s="6" t="s">
        <v>652</v>
      </c>
      <c r="C419" s="16">
        <v>1</v>
      </c>
      <c r="D419" s="16">
        <v>3</v>
      </c>
      <c r="E419" s="16">
        <v>70</v>
      </c>
    </row>
    <row r="420" spans="1:5" x14ac:dyDescent="0.25">
      <c r="A420" s="6" t="s">
        <v>637</v>
      </c>
      <c r="B420" s="6" t="s">
        <v>653</v>
      </c>
      <c r="C420" s="16">
        <v>1</v>
      </c>
      <c r="D420" s="16">
        <v>4</v>
      </c>
      <c r="E420" s="16">
        <v>70</v>
      </c>
    </row>
    <row r="421" spans="1:5" x14ac:dyDescent="0.25">
      <c r="A421" s="6" t="s">
        <v>637</v>
      </c>
      <c r="B421" s="6" t="s">
        <v>654</v>
      </c>
      <c r="C421" s="16">
        <v>1</v>
      </c>
      <c r="D421" s="16">
        <v>12</v>
      </c>
      <c r="E421" s="16">
        <v>75</v>
      </c>
    </row>
    <row r="422" spans="1:5" x14ac:dyDescent="0.25">
      <c r="A422" s="6" t="s">
        <v>637</v>
      </c>
      <c r="B422" s="6" t="s">
        <v>1162</v>
      </c>
      <c r="C422" s="16">
        <v>1</v>
      </c>
      <c r="D422" s="16">
        <v>60</v>
      </c>
      <c r="E422" s="16">
        <v>90</v>
      </c>
    </row>
    <row r="423" spans="1:5" x14ac:dyDescent="0.25">
      <c r="A423" s="6" t="s">
        <v>656</v>
      </c>
      <c r="B423" s="6" t="s">
        <v>657</v>
      </c>
      <c r="C423" s="16">
        <v>1</v>
      </c>
      <c r="D423" s="16">
        <v>17</v>
      </c>
      <c r="E423" s="16">
        <v>64</v>
      </c>
    </row>
    <row r="424" spans="1:5" x14ac:dyDescent="0.25">
      <c r="A424" s="6" t="s">
        <v>656</v>
      </c>
      <c r="B424" s="6" t="s">
        <v>658</v>
      </c>
      <c r="C424" s="16">
        <v>1</v>
      </c>
      <c r="D424" s="16">
        <v>26</v>
      </c>
      <c r="E424" s="16">
        <v>74</v>
      </c>
    </row>
    <row r="425" spans="1:5" x14ac:dyDescent="0.25">
      <c r="A425" s="6" t="s">
        <v>656</v>
      </c>
      <c r="B425" s="6" t="s">
        <v>659</v>
      </c>
      <c r="C425" s="16">
        <v>1</v>
      </c>
      <c r="D425" s="16">
        <v>2</v>
      </c>
      <c r="E425" s="16">
        <f>96/2</f>
        <v>48</v>
      </c>
    </row>
    <row r="426" spans="1:5" x14ac:dyDescent="0.25">
      <c r="A426" s="6" t="s">
        <v>656</v>
      </c>
      <c r="B426" s="6" t="s">
        <v>660</v>
      </c>
      <c r="C426" s="16">
        <v>1</v>
      </c>
      <c r="D426" s="16">
        <v>27</v>
      </c>
      <c r="E426" s="16">
        <v>60</v>
      </c>
    </row>
    <row r="427" spans="1:5" x14ac:dyDescent="0.25">
      <c r="A427" s="6" t="s">
        <v>656</v>
      </c>
      <c r="B427" s="6" t="s">
        <v>661</v>
      </c>
      <c r="C427" s="16">
        <v>1</v>
      </c>
      <c r="D427" s="16">
        <v>5</v>
      </c>
      <c r="E427" s="16">
        <f>320/5</f>
        <v>64</v>
      </c>
    </row>
    <row r="428" spans="1:5" x14ac:dyDescent="0.25">
      <c r="A428" s="6" t="s">
        <v>656</v>
      </c>
      <c r="B428" s="6" t="s">
        <v>662</v>
      </c>
      <c r="C428" s="16">
        <v>1</v>
      </c>
      <c r="D428" s="16">
        <v>11</v>
      </c>
      <c r="E428" s="16">
        <f>192/3</f>
        <v>64</v>
      </c>
    </row>
    <row r="429" spans="1:5" x14ac:dyDescent="0.25">
      <c r="A429" s="6" t="s">
        <v>656</v>
      </c>
      <c r="B429" s="6" t="s">
        <v>663</v>
      </c>
      <c r="C429" s="16">
        <v>1</v>
      </c>
      <c r="D429" s="16">
        <v>12</v>
      </c>
      <c r="E429" s="16">
        <f>290/5</f>
        <v>58</v>
      </c>
    </row>
    <row r="430" spans="1:5" x14ac:dyDescent="0.25">
      <c r="A430" s="6" t="s">
        <v>656</v>
      </c>
      <c r="B430" s="6" t="s">
        <v>664</v>
      </c>
      <c r="C430" s="16">
        <v>1</v>
      </c>
      <c r="D430" s="16">
        <v>20</v>
      </c>
      <c r="E430" s="16">
        <v>86</v>
      </c>
    </row>
    <row r="431" spans="1:5" x14ac:dyDescent="0.25">
      <c r="A431" s="6" t="s">
        <v>656</v>
      </c>
      <c r="B431" s="6" t="s">
        <v>665</v>
      </c>
      <c r="C431" s="16">
        <v>1</v>
      </c>
      <c r="D431" s="16">
        <f>10+6+15+30</f>
        <v>61</v>
      </c>
      <c r="E431" s="16">
        <v>56</v>
      </c>
    </row>
    <row r="432" spans="1:5" x14ac:dyDescent="0.25">
      <c r="A432" s="6" t="s">
        <v>656</v>
      </c>
      <c r="B432" s="6" t="s">
        <v>666</v>
      </c>
      <c r="C432" s="16">
        <v>1</v>
      </c>
      <c r="D432" s="16">
        <f>10+9+5+15</f>
        <v>39</v>
      </c>
      <c r="E432" s="16">
        <v>76</v>
      </c>
    </row>
    <row r="433" spans="1:5" x14ac:dyDescent="0.25">
      <c r="A433" s="6" t="s">
        <v>667</v>
      </c>
      <c r="B433" s="6" t="s">
        <v>668</v>
      </c>
      <c r="C433" s="16">
        <v>1</v>
      </c>
      <c r="D433" s="16">
        <v>72</v>
      </c>
      <c r="E433" s="16">
        <f>360/6</f>
        <v>60</v>
      </c>
    </row>
    <row r="434" spans="1:5" x14ac:dyDescent="0.25">
      <c r="A434" s="6" t="s">
        <v>667</v>
      </c>
      <c r="B434" s="6" t="s">
        <v>669</v>
      </c>
      <c r="C434" s="16">
        <v>1</v>
      </c>
      <c r="D434" s="16">
        <v>1</v>
      </c>
      <c r="E434" s="16">
        <v>110</v>
      </c>
    </row>
    <row r="435" spans="1:5" x14ac:dyDescent="0.25">
      <c r="A435" s="6" t="s">
        <v>667</v>
      </c>
      <c r="B435" s="6" t="s">
        <v>670</v>
      </c>
      <c r="C435" s="16">
        <v>1</v>
      </c>
      <c r="D435" s="16">
        <v>27</v>
      </c>
      <c r="E435" s="16">
        <v>60</v>
      </c>
    </row>
    <row r="436" spans="1:5" x14ac:dyDescent="0.25">
      <c r="A436" s="6" t="s">
        <v>671</v>
      </c>
      <c r="B436" s="6" t="s">
        <v>675</v>
      </c>
      <c r="C436" s="16">
        <v>1</v>
      </c>
      <c r="D436" s="16">
        <f>10+15+10+27</f>
        <v>62</v>
      </c>
      <c r="E436" s="16">
        <v>36</v>
      </c>
    </row>
    <row r="437" spans="1:5" x14ac:dyDescent="0.25">
      <c r="A437" s="6" t="s">
        <v>671</v>
      </c>
      <c r="B437" s="6" t="s">
        <v>676</v>
      </c>
      <c r="C437" s="16">
        <v>1</v>
      </c>
      <c r="D437" s="16">
        <v>17</v>
      </c>
      <c r="E437" s="16">
        <f>352/8</f>
        <v>44</v>
      </c>
    </row>
    <row r="438" spans="1:5" x14ac:dyDescent="0.25">
      <c r="A438" s="6" t="s">
        <v>671</v>
      </c>
      <c r="B438" s="6" t="s">
        <v>677</v>
      </c>
      <c r="C438" s="16">
        <v>1</v>
      </c>
      <c r="D438" s="16">
        <f>3+5+40+16</f>
        <v>64</v>
      </c>
      <c r="E438" s="16">
        <f>180/5</f>
        <v>36</v>
      </c>
    </row>
    <row r="439" spans="1:5" x14ac:dyDescent="0.25">
      <c r="A439" s="6" t="s">
        <v>671</v>
      </c>
      <c r="B439" s="6" t="s">
        <v>678</v>
      </c>
      <c r="C439" s="16">
        <v>1</v>
      </c>
      <c r="D439" s="16">
        <f>6+5+20+10</f>
        <v>41</v>
      </c>
      <c r="E439" s="16">
        <v>44</v>
      </c>
    </row>
    <row r="440" spans="1:5" x14ac:dyDescent="0.25">
      <c r="A440" s="6" t="s">
        <v>671</v>
      </c>
      <c r="B440" s="6" t="s">
        <v>679</v>
      </c>
      <c r="C440" s="16">
        <v>1</v>
      </c>
      <c r="D440" s="16">
        <v>20</v>
      </c>
      <c r="E440" s="16">
        <v>44</v>
      </c>
    </row>
    <row r="441" spans="1:5" x14ac:dyDescent="0.25">
      <c r="A441" s="6" t="s">
        <v>671</v>
      </c>
      <c r="B441" s="6" t="s">
        <v>680</v>
      </c>
      <c r="C441" s="16">
        <v>1</v>
      </c>
      <c r="D441" s="16">
        <v>41</v>
      </c>
      <c r="E441" s="16">
        <v>36</v>
      </c>
    </row>
    <row r="442" spans="1:5" x14ac:dyDescent="0.25">
      <c r="A442" s="6" t="s">
        <v>671</v>
      </c>
      <c r="B442" s="6" t="s">
        <v>681</v>
      </c>
      <c r="C442" s="16">
        <v>1</v>
      </c>
      <c r="D442" s="16">
        <v>13</v>
      </c>
      <c r="E442" s="16">
        <v>44</v>
      </c>
    </row>
    <row r="443" spans="1:5" x14ac:dyDescent="0.25">
      <c r="A443" s="6" t="s">
        <v>671</v>
      </c>
      <c r="B443" s="6" t="s">
        <v>672</v>
      </c>
      <c r="C443" s="16">
        <v>1</v>
      </c>
      <c r="D443" s="16">
        <v>25</v>
      </c>
      <c r="E443" s="16">
        <v>110</v>
      </c>
    </row>
    <row r="444" spans="1:5" x14ac:dyDescent="0.25">
      <c r="A444" s="6" t="s">
        <v>671</v>
      </c>
      <c r="B444" s="6" t="s">
        <v>673</v>
      </c>
      <c r="C444" s="16">
        <v>1</v>
      </c>
      <c r="D444" s="16">
        <v>19</v>
      </c>
      <c r="E444" s="16">
        <v>50</v>
      </c>
    </row>
    <row r="445" spans="1:5" x14ac:dyDescent="0.25">
      <c r="A445" s="6" t="s">
        <v>671</v>
      </c>
      <c r="B445" s="6" t="s">
        <v>674</v>
      </c>
      <c r="C445" s="16">
        <v>1</v>
      </c>
      <c r="D445" s="16">
        <v>21</v>
      </c>
      <c r="E445" s="16">
        <v>60</v>
      </c>
    </row>
    <row r="446" spans="1:5" x14ac:dyDescent="0.25">
      <c r="A446" s="6" t="s">
        <v>671</v>
      </c>
      <c r="B446" s="6" t="s">
        <v>682</v>
      </c>
      <c r="C446" s="16">
        <v>1</v>
      </c>
      <c r="D446" s="16">
        <v>24</v>
      </c>
      <c r="E446" s="16">
        <v>60</v>
      </c>
    </row>
    <row r="447" spans="1:5" x14ac:dyDescent="0.25">
      <c r="A447" s="6" t="s">
        <v>671</v>
      </c>
      <c r="B447" s="6" t="s">
        <v>683</v>
      </c>
      <c r="C447" s="16">
        <v>1</v>
      </c>
      <c r="D447" s="16">
        <v>5</v>
      </c>
      <c r="E447" s="16">
        <v>45.6</v>
      </c>
    </row>
    <row r="448" spans="1:5" x14ac:dyDescent="0.25">
      <c r="A448" s="6" t="s">
        <v>671</v>
      </c>
      <c r="B448" s="6" t="s">
        <v>684</v>
      </c>
      <c r="C448" s="16">
        <v>1</v>
      </c>
      <c r="D448" s="16">
        <v>3</v>
      </c>
      <c r="E448" s="16">
        <v>86</v>
      </c>
    </row>
    <row r="449" spans="1:5" x14ac:dyDescent="0.25">
      <c r="A449" s="6" t="s">
        <v>671</v>
      </c>
      <c r="B449" s="6" t="s">
        <v>685</v>
      </c>
      <c r="C449" s="16">
        <v>1</v>
      </c>
      <c r="D449" s="16">
        <v>80</v>
      </c>
      <c r="E449" s="16">
        <f>360/5</f>
        <v>72</v>
      </c>
    </row>
    <row r="450" spans="1:5" x14ac:dyDescent="0.25">
      <c r="A450" s="6" t="s">
        <v>671</v>
      </c>
      <c r="B450" s="6" t="s">
        <v>686</v>
      </c>
      <c r="C450" s="16">
        <v>1</v>
      </c>
      <c r="D450" s="16">
        <v>12</v>
      </c>
      <c r="E450" s="16">
        <v>58</v>
      </c>
    </row>
    <row r="451" spans="1:5" x14ac:dyDescent="0.25">
      <c r="A451" s="6" t="s">
        <v>671</v>
      </c>
      <c r="B451" s="6" t="s">
        <v>687</v>
      </c>
      <c r="C451" s="16">
        <v>1</v>
      </c>
      <c r="D451" s="16">
        <v>38</v>
      </c>
      <c r="E451" s="16">
        <v>30</v>
      </c>
    </row>
    <row r="452" spans="1:5" x14ac:dyDescent="0.25">
      <c r="A452" s="6" t="s">
        <v>688</v>
      </c>
      <c r="B452" s="6" t="s">
        <v>689</v>
      </c>
      <c r="C452" s="16">
        <v>1</v>
      </c>
      <c r="D452" s="16">
        <v>30</v>
      </c>
      <c r="E452" s="16">
        <f>275/5</f>
        <v>55</v>
      </c>
    </row>
    <row r="453" spans="1:5" x14ac:dyDescent="0.25">
      <c r="A453" s="6" t="s">
        <v>688</v>
      </c>
      <c r="B453" s="6" t="s">
        <v>690</v>
      </c>
      <c r="C453" s="16">
        <v>1</v>
      </c>
      <c r="D453" s="16">
        <f>24+19</f>
        <v>43</v>
      </c>
      <c r="E453" s="16">
        <f>230/5</f>
        <v>46</v>
      </c>
    </row>
    <row r="454" spans="1:5" x14ac:dyDescent="0.25">
      <c r="A454" s="6" t="s">
        <v>688</v>
      </c>
      <c r="B454" s="6" t="s">
        <v>691</v>
      </c>
      <c r="C454" s="16">
        <v>1</v>
      </c>
      <c r="D454" s="16">
        <v>22</v>
      </c>
      <c r="E454" s="16">
        <v>52</v>
      </c>
    </row>
    <row r="455" spans="1:5" x14ac:dyDescent="0.25">
      <c r="A455" s="6" t="s">
        <v>688</v>
      </c>
      <c r="B455" s="6" t="s">
        <v>692</v>
      </c>
      <c r="C455" s="16">
        <v>1</v>
      </c>
      <c r="D455" s="16">
        <v>4</v>
      </c>
      <c r="E455" s="16">
        <f>216/4</f>
        <v>54</v>
      </c>
    </row>
    <row r="456" spans="1:5" x14ac:dyDescent="0.25">
      <c r="A456" s="6" t="s">
        <v>688</v>
      </c>
      <c r="B456" s="6" t="s">
        <v>693</v>
      </c>
      <c r="C456" s="16">
        <v>1</v>
      </c>
      <c r="D456" s="16">
        <v>5</v>
      </c>
      <c r="E456" s="16">
        <f>96/3</f>
        <v>32</v>
      </c>
    </row>
    <row r="457" spans="1:5" x14ac:dyDescent="0.25">
      <c r="A457" s="6" t="s">
        <v>688</v>
      </c>
      <c r="B457" s="6" t="s">
        <v>694</v>
      </c>
      <c r="C457" s="16">
        <v>1</v>
      </c>
      <c r="D457" s="16">
        <v>49</v>
      </c>
      <c r="E457" s="16">
        <f>1276/29</f>
        <v>44</v>
      </c>
    </row>
    <row r="458" spans="1:5" x14ac:dyDescent="0.25">
      <c r="A458" s="6" t="s">
        <v>688</v>
      </c>
      <c r="B458" s="6" t="s">
        <v>695</v>
      </c>
      <c r="C458" s="16">
        <v>1</v>
      </c>
      <c r="D458" s="16">
        <f>12+5+20+22</f>
        <v>59</v>
      </c>
      <c r="E458" s="16">
        <f>240/5</f>
        <v>48</v>
      </c>
    </row>
    <row r="459" spans="1:5" x14ac:dyDescent="0.25">
      <c r="A459" s="6" t="s">
        <v>688</v>
      </c>
      <c r="B459" s="6" t="s">
        <v>696</v>
      </c>
      <c r="C459" s="16">
        <v>1</v>
      </c>
      <c r="D459" s="16">
        <v>13</v>
      </c>
      <c r="E459" s="16">
        <v>32</v>
      </c>
    </row>
    <row r="460" spans="1:5" x14ac:dyDescent="0.25">
      <c r="A460" s="6" t="s">
        <v>688</v>
      </c>
      <c r="B460" s="6" t="s">
        <v>697</v>
      </c>
      <c r="C460" s="16">
        <v>1</v>
      </c>
      <c r="D460" s="16">
        <v>13</v>
      </c>
      <c r="E460" s="16">
        <v>16</v>
      </c>
    </row>
    <row r="461" spans="1:5" x14ac:dyDescent="0.25">
      <c r="A461" s="6" t="s">
        <v>688</v>
      </c>
      <c r="B461" s="6" t="s">
        <v>698</v>
      </c>
      <c r="C461" s="16">
        <v>1</v>
      </c>
      <c r="D461" s="16">
        <v>11</v>
      </c>
      <c r="E461" s="16">
        <f>220/5</f>
        <v>44</v>
      </c>
    </row>
    <row r="462" spans="1:5" x14ac:dyDescent="0.25">
      <c r="A462" s="6" t="s">
        <v>688</v>
      </c>
      <c r="B462" s="6" t="s">
        <v>699</v>
      </c>
      <c r="C462" s="16">
        <v>1</v>
      </c>
      <c r="D462" s="16">
        <v>2</v>
      </c>
      <c r="E462" s="16">
        <v>60</v>
      </c>
    </row>
    <row r="463" spans="1:5" x14ac:dyDescent="0.25">
      <c r="A463" s="6" t="s">
        <v>688</v>
      </c>
      <c r="B463" s="6" t="s">
        <v>700</v>
      </c>
      <c r="C463" s="16">
        <v>1</v>
      </c>
      <c r="D463" s="16">
        <v>1</v>
      </c>
      <c r="E463" s="16">
        <v>62</v>
      </c>
    </row>
    <row r="464" spans="1:5" x14ac:dyDescent="0.25">
      <c r="A464" s="6" t="s">
        <v>688</v>
      </c>
      <c r="B464" s="6" t="s">
        <v>701</v>
      </c>
      <c r="C464" s="16">
        <v>1</v>
      </c>
      <c r="D464" s="16">
        <v>80</v>
      </c>
      <c r="E464" s="16">
        <f>4000/80</f>
        <v>50</v>
      </c>
    </row>
    <row r="465" spans="1:5" x14ac:dyDescent="0.25">
      <c r="A465" s="6" t="s">
        <v>688</v>
      </c>
      <c r="B465" s="6" t="s">
        <v>702</v>
      </c>
      <c r="C465" s="16">
        <v>1</v>
      </c>
      <c r="D465" s="16">
        <v>47</v>
      </c>
      <c r="E465" s="16">
        <v>44</v>
      </c>
    </row>
    <row r="466" spans="1:5" x14ac:dyDescent="0.25">
      <c r="A466" s="6" t="s">
        <v>688</v>
      </c>
      <c r="B466" s="6" t="s">
        <v>703</v>
      </c>
      <c r="C466" s="16">
        <v>1</v>
      </c>
      <c r="D466" s="16">
        <v>19</v>
      </c>
      <c r="E466" s="16">
        <f>676/13</f>
        <v>52</v>
      </c>
    </row>
    <row r="467" spans="1:5" x14ac:dyDescent="0.25">
      <c r="A467" s="6" t="s">
        <v>688</v>
      </c>
      <c r="B467" s="6" t="s">
        <v>704</v>
      </c>
      <c r="C467" s="16">
        <v>1</v>
      </c>
      <c r="D467" s="16">
        <v>14</v>
      </c>
      <c r="E467" s="16">
        <f>198/5</f>
        <v>39.6</v>
      </c>
    </row>
    <row r="468" spans="1:5" x14ac:dyDescent="0.25">
      <c r="A468" s="6" t="s">
        <v>688</v>
      </c>
      <c r="B468" s="6" t="s">
        <v>705</v>
      </c>
      <c r="C468" s="16">
        <v>1</v>
      </c>
      <c r="D468" s="16">
        <v>40</v>
      </c>
      <c r="E468" s="16">
        <v>48</v>
      </c>
    </row>
    <row r="469" spans="1:5" x14ac:dyDescent="0.25">
      <c r="A469" s="6" t="s">
        <v>688</v>
      </c>
      <c r="B469" s="6" t="s">
        <v>706</v>
      </c>
      <c r="C469" s="16">
        <v>1</v>
      </c>
      <c r="D469" s="16">
        <v>1</v>
      </c>
      <c r="E469" s="16">
        <v>40</v>
      </c>
    </row>
    <row r="470" spans="1:5" x14ac:dyDescent="0.25">
      <c r="A470" s="6" t="s">
        <v>688</v>
      </c>
      <c r="B470" s="6" t="s">
        <v>707</v>
      </c>
      <c r="C470" s="16">
        <v>1</v>
      </c>
      <c r="D470" s="16">
        <v>54</v>
      </c>
      <c r="E470" s="16">
        <f>220/5</f>
        <v>44</v>
      </c>
    </row>
    <row r="471" spans="1:5" x14ac:dyDescent="0.25">
      <c r="A471" s="6" t="s">
        <v>267</v>
      </c>
      <c r="B471" s="6" t="s">
        <v>708</v>
      </c>
      <c r="C471" s="16">
        <v>1</v>
      </c>
      <c r="D471" s="16">
        <v>46</v>
      </c>
      <c r="E471" s="16">
        <v>32</v>
      </c>
    </row>
    <row r="472" spans="1:5" x14ac:dyDescent="0.25">
      <c r="A472" s="6" t="s">
        <v>709</v>
      </c>
      <c r="B472" s="6" t="s">
        <v>713</v>
      </c>
      <c r="C472" s="16">
        <v>1</v>
      </c>
      <c r="D472" s="16">
        <v>37</v>
      </c>
      <c r="E472" s="16">
        <v>51.5</v>
      </c>
    </row>
    <row r="473" spans="1:5" x14ac:dyDescent="0.25">
      <c r="A473" s="6" t="s">
        <v>709</v>
      </c>
      <c r="B473" s="6" t="s">
        <v>714</v>
      </c>
      <c r="C473" s="16">
        <v>1</v>
      </c>
      <c r="D473" s="16">
        <v>38</v>
      </c>
      <c r="E473" s="16">
        <f>720/18</f>
        <v>40</v>
      </c>
    </row>
    <row r="474" spans="1:5" x14ac:dyDescent="0.25">
      <c r="A474" s="6" t="s">
        <v>710</v>
      </c>
      <c r="B474" s="6" t="s">
        <v>715</v>
      </c>
      <c r="C474" s="16">
        <v>1</v>
      </c>
      <c r="D474" s="16">
        <v>49</v>
      </c>
      <c r="E474" s="16">
        <f>300/5</f>
        <v>60</v>
      </c>
    </row>
    <row r="475" spans="1:5" x14ac:dyDescent="0.25">
      <c r="A475" s="6" t="s">
        <v>710</v>
      </c>
      <c r="B475" s="6" t="s">
        <v>716</v>
      </c>
      <c r="C475" s="16">
        <v>1</v>
      </c>
      <c r="D475" s="16">
        <v>22</v>
      </c>
      <c r="E475" s="16">
        <v>42</v>
      </c>
    </row>
    <row r="476" spans="1:5" x14ac:dyDescent="0.25">
      <c r="A476" s="6" t="s">
        <v>710</v>
      </c>
      <c r="B476" s="6" t="s">
        <v>717</v>
      </c>
      <c r="C476" s="16">
        <v>1</v>
      </c>
      <c r="D476" s="16">
        <v>6</v>
      </c>
      <c r="E476" s="16">
        <v>57.5</v>
      </c>
    </row>
    <row r="477" spans="1:5" x14ac:dyDescent="0.25">
      <c r="A477" s="6" t="s">
        <v>711</v>
      </c>
      <c r="B477" s="6" t="s">
        <v>718</v>
      </c>
      <c r="C477" s="16">
        <v>1</v>
      </c>
      <c r="D477" s="16">
        <v>1</v>
      </c>
      <c r="E477" s="16">
        <v>50</v>
      </c>
    </row>
    <row r="478" spans="1:5" x14ac:dyDescent="0.25">
      <c r="A478" s="6" t="s">
        <v>712</v>
      </c>
      <c r="B478" s="6" t="s">
        <v>719</v>
      </c>
      <c r="C478" s="16">
        <f>6+17</f>
        <v>23</v>
      </c>
      <c r="D478" s="16">
        <v>5</v>
      </c>
      <c r="E478" s="16">
        <f>425/5</f>
        <v>85</v>
      </c>
    </row>
    <row r="479" spans="1:5" x14ac:dyDescent="0.25">
      <c r="A479" s="6" t="s">
        <v>712</v>
      </c>
      <c r="B479" s="6" t="s">
        <v>720</v>
      </c>
      <c r="C479" s="16">
        <v>1</v>
      </c>
      <c r="D479" s="16">
        <f>10+12+15+32+30+18+45+82</f>
        <v>244</v>
      </c>
      <c r="E479" s="16">
        <v>20</v>
      </c>
    </row>
    <row r="480" spans="1:5" x14ac:dyDescent="0.25">
      <c r="A480" s="6" t="s">
        <v>721</v>
      </c>
      <c r="B480" s="6" t="s">
        <v>722</v>
      </c>
      <c r="C480" s="16">
        <v>1</v>
      </c>
      <c r="D480" s="16">
        <v>5</v>
      </c>
      <c r="E480" s="16">
        <f>180/5</f>
        <v>36</v>
      </c>
    </row>
    <row r="481" spans="1:5" x14ac:dyDescent="0.25">
      <c r="A481" s="6" t="s">
        <v>721</v>
      </c>
      <c r="B481" s="6" t="s">
        <v>723</v>
      </c>
      <c r="C481" s="16">
        <v>1</v>
      </c>
      <c r="D481" s="16">
        <f>27+40+20+98</f>
        <v>185</v>
      </c>
      <c r="E481" s="16">
        <f>1520/40</f>
        <v>38</v>
      </c>
    </row>
    <row r="482" spans="1:5" x14ac:dyDescent="0.25">
      <c r="A482" s="6" t="s">
        <v>721</v>
      </c>
      <c r="B482" s="6" t="s">
        <v>724</v>
      </c>
      <c r="C482" s="16">
        <v>1</v>
      </c>
      <c r="D482" s="16">
        <f>10+6+5+27</f>
        <v>48</v>
      </c>
      <c r="E482" s="16">
        <v>58</v>
      </c>
    </row>
    <row r="483" spans="1:5" x14ac:dyDescent="0.25">
      <c r="A483" s="6" t="s">
        <v>725</v>
      </c>
      <c r="B483" s="6" t="s">
        <v>726</v>
      </c>
      <c r="C483" s="16">
        <v>1</v>
      </c>
      <c r="D483" s="16">
        <v>34</v>
      </c>
      <c r="E483" s="16">
        <v>60</v>
      </c>
    </row>
    <row r="484" spans="1:5" x14ac:dyDescent="0.25">
      <c r="A484" s="6" t="s">
        <v>725</v>
      </c>
      <c r="B484" s="6" t="s">
        <v>727</v>
      </c>
      <c r="C484" s="16">
        <v>1</v>
      </c>
      <c r="D484" s="16">
        <v>38</v>
      </c>
      <c r="E484" s="16">
        <v>40</v>
      </c>
    </row>
    <row r="485" spans="1:5" x14ac:dyDescent="0.25">
      <c r="A485" s="6" t="s">
        <v>725</v>
      </c>
      <c r="B485" s="6" t="s">
        <v>728</v>
      </c>
      <c r="C485" s="16">
        <v>1</v>
      </c>
      <c r="D485" s="16">
        <v>24</v>
      </c>
      <c r="E485" s="16">
        <v>56</v>
      </c>
    </row>
    <row r="486" spans="1:5" x14ac:dyDescent="0.25">
      <c r="A486" s="6" t="s">
        <v>725</v>
      </c>
      <c r="B486" s="6" t="s">
        <v>729</v>
      </c>
      <c r="C486" s="16">
        <v>1</v>
      </c>
      <c r="D486" s="16">
        <v>10</v>
      </c>
      <c r="E486" s="16">
        <f>220/5</f>
        <v>44</v>
      </c>
    </row>
    <row r="487" spans="1:5" x14ac:dyDescent="0.25">
      <c r="A487" s="6" t="s">
        <v>725</v>
      </c>
      <c r="B487" s="6" t="s">
        <v>730</v>
      </c>
      <c r="C487" s="16">
        <v>1</v>
      </c>
      <c r="D487" s="16">
        <v>34</v>
      </c>
      <c r="E487" s="16">
        <v>45.5</v>
      </c>
    </row>
    <row r="488" spans="1:5" x14ac:dyDescent="0.25">
      <c r="A488" s="6" t="s">
        <v>725</v>
      </c>
      <c r="B488" s="6" t="s">
        <v>731</v>
      </c>
      <c r="C488" s="16">
        <v>1</v>
      </c>
      <c r="D488" s="16">
        <f>15+26</f>
        <v>41</v>
      </c>
      <c r="E488" s="16">
        <v>36.5</v>
      </c>
    </row>
    <row r="489" spans="1:5" x14ac:dyDescent="0.25">
      <c r="A489" s="6" t="s">
        <v>712</v>
      </c>
      <c r="B489" s="6" t="s">
        <v>732</v>
      </c>
      <c r="C489" s="16">
        <v>1</v>
      </c>
      <c r="D489" s="16">
        <v>90</v>
      </c>
      <c r="E489" s="16">
        <v>32</v>
      </c>
    </row>
    <row r="490" spans="1:5" x14ac:dyDescent="0.25">
      <c r="A490" s="6" t="s">
        <v>712</v>
      </c>
      <c r="B490" s="6" t="s">
        <v>733</v>
      </c>
      <c r="C490" s="16">
        <v>1</v>
      </c>
      <c r="D490" s="16">
        <v>19</v>
      </c>
      <c r="E490" s="16">
        <f>138/3</f>
        <v>46</v>
      </c>
    </row>
    <row r="491" spans="1:5" x14ac:dyDescent="0.25">
      <c r="A491" s="6" t="s">
        <v>734</v>
      </c>
      <c r="B491" s="6" t="s">
        <v>735</v>
      </c>
      <c r="C491" s="16">
        <v>1</v>
      </c>
      <c r="D491" s="16">
        <v>12</v>
      </c>
      <c r="E491" s="16">
        <f>420/5</f>
        <v>84</v>
      </c>
    </row>
    <row r="492" spans="1:5" x14ac:dyDescent="0.25">
      <c r="A492" s="6" t="s">
        <v>734</v>
      </c>
      <c r="B492" s="6" t="s">
        <v>736</v>
      </c>
      <c r="C492" s="16">
        <v>1</v>
      </c>
      <c r="D492" s="16">
        <v>13</v>
      </c>
      <c r="E492" s="16">
        <v>50</v>
      </c>
    </row>
    <row r="493" spans="1:5" x14ac:dyDescent="0.25">
      <c r="A493" s="6" t="s">
        <v>734</v>
      </c>
      <c r="B493" s="6" t="s">
        <v>737</v>
      </c>
      <c r="C493" s="16">
        <v>1</v>
      </c>
      <c r="D493" s="16">
        <f>9+30+20+34</f>
        <v>93</v>
      </c>
      <c r="E493" s="16">
        <f>144/2</f>
        <v>72</v>
      </c>
    </row>
    <row r="494" spans="1:5" x14ac:dyDescent="0.25">
      <c r="A494" s="6" t="s">
        <v>738</v>
      </c>
      <c r="B494" s="6" t="s">
        <v>739</v>
      </c>
      <c r="C494" s="16">
        <v>1</v>
      </c>
      <c r="D494" s="16">
        <v>7</v>
      </c>
      <c r="E494" s="16">
        <f>216/3</f>
        <v>72</v>
      </c>
    </row>
    <row r="495" spans="1:5" x14ac:dyDescent="0.25">
      <c r="A495" s="6" t="s">
        <v>738</v>
      </c>
      <c r="B495" s="6" t="s">
        <v>740</v>
      </c>
      <c r="C495" s="16">
        <v>1</v>
      </c>
      <c r="D495" s="16">
        <f>9+15+11</f>
        <v>35</v>
      </c>
      <c r="E495" s="16">
        <f>720/15</f>
        <v>48</v>
      </c>
    </row>
    <row r="496" spans="1:5" x14ac:dyDescent="0.25">
      <c r="A496" s="6" t="s">
        <v>738</v>
      </c>
      <c r="B496" s="6" t="s">
        <v>741</v>
      </c>
      <c r="C496" s="16">
        <v>1</v>
      </c>
      <c r="D496" s="16">
        <v>3</v>
      </c>
      <c r="E496" s="16">
        <f>174/3</f>
        <v>58</v>
      </c>
    </row>
    <row r="497" spans="1:5" x14ac:dyDescent="0.25">
      <c r="A497" s="6" t="s">
        <v>738</v>
      </c>
      <c r="B497" s="6" t="s">
        <v>742</v>
      </c>
      <c r="C497" s="16">
        <v>1</v>
      </c>
      <c r="D497" s="16">
        <v>276</v>
      </c>
      <c r="E497" s="16">
        <v>52</v>
      </c>
    </row>
    <row r="498" spans="1:5" x14ac:dyDescent="0.25">
      <c r="A498" s="6" t="s">
        <v>738</v>
      </c>
      <c r="B498" s="6" t="s">
        <v>743</v>
      </c>
      <c r="C498" s="16">
        <v>1</v>
      </c>
      <c r="D498" s="16">
        <f>3+5+13</f>
        <v>21</v>
      </c>
      <c r="E498" s="16">
        <f>290/5</f>
        <v>58</v>
      </c>
    </row>
    <row r="499" spans="1:5" x14ac:dyDescent="0.25">
      <c r="A499" s="6" t="s">
        <v>738</v>
      </c>
      <c r="B499" s="6" t="s">
        <v>744</v>
      </c>
      <c r="C499" s="16">
        <v>1</v>
      </c>
      <c r="D499" s="16">
        <f>3+7</f>
        <v>10</v>
      </c>
      <c r="E499" s="16">
        <f>126/3</f>
        <v>42</v>
      </c>
    </row>
    <row r="500" spans="1:5" x14ac:dyDescent="0.25">
      <c r="A500" s="6" t="s">
        <v>738</v>
      </c>
      <c r="B500" s="6" t="s">
        <v>745</v>
      </c>
      <c r="C500" s="16">
        <v>1</v>
      </c>
      <c r="D500" s="16">
        <f>6+6</f>
        <v>12</v>
      </c>
      <c r="E500" s="16">
        <f>348/6</f>
        <v>58</v>
      </c>
    </row>
    <row r="501" spans="1:5" x14ac:dyDescent="0.25">
      <c r="A501" s="6" t="s">
        <v>738</v>
      </c>
      <c r="B501" s="6" t="s">
        <v>746</v>
      </c>
      <c r="C501" s="16">
        <v>1</v>
      </c>
      <c r="D501" s="16">
        <f>16+6</f>
        <v>22</v>
      </c>
      <c r="E501" s="16">
        <f>276/6</f>
        <v>46</v>
      </c>
    </row>
    <row r="502" spans="1:5" x14ac:dyDescent="0.25">
      <c r="A502" s="6" t="s">
        <v>738</v>
      </c>
      <c r="B502" s="6" t="s">
        <v>747</v>
      </c>
      <c r="C502" s="16">
        <v>1</v>
      </c>
      <c r="D502" s="16">
        <f>10+12+11</f>
        <v>33</v>
      </c>
      <c r="E502" s="16">
        <v>50</v>
      </c>
    </row>
    <row r="503" spans="1:5" x14ac:dyDescent="0.25">
      <c r="A503" s="6" t="s">
        <v>738</v>
      </c>
      <c r="B503" s="6" t="s">
        <v>748</v>
      </c>
      <c r="C503" s="16">
        <v>1</v>
      </c>
      <c r="D503" s="16">
        <v>84</v>
      </c>
      <c r="E503" s="16">
        <v>62</v>
      </c>
    </row>
    <row r="504" spans="1:5" x14ac:dyDescent="0.25">
      <c r="A504" s="6" t="s">
        <v>738</v>
      </c>
      <c r="B504" s="6" t="s">
        <v>749</v>
      </c>
      <c r="C504" s="16">
        <v>1</v>
      </c>
      <c r="D504" s="16">
        <v>12</v>
      </c>
      <c r="E504" s="16">
        <f>138/3</f>
        <v>46</v>
      </c>
    </row>
    <row r="505" spans="1:5" x14ac:dyDescent="0.25">
      <c r="A505" s="6" t="s">
        <v>738</v>
      </c>
      <c r="B505" s="6" t="s">
        <v>750</v>
      </c>
      <c r="C505" s="16">
        <v>1</v>
      </c>
      <c r="D505" s="16">
        <v>1</v>
      </c>
      <c r="E505" s="16">
        <v>52</v>
      </c>
    </row>
    <row r="506" spans="1:5" x14ac:dyDescent="0.25">
      <c r="A506" s="6" t="s">
        <v>738</v>
      </c>
      <c r="B506" s="6" t="s">
        <v>751</v>
      </c>
      <c r="C506" s="16">
        <v>1</v>
      </c>
      <c r="D506" s="16">
        <v>32</v>
      </c>
      <c r="E506" s="16">
        <v>42</v>
      </c>
    </row>
    <row r="507" spans="1:5" x14ac:dyDescent="0.25">
      <c r="A507" s="6" t="s">
        <v>738</v>
      </c>
      <c r="B507" s="6" t="s">
        <v>753</v>
      </c>
      <c r="C507" s="16">
        <v>1</v>
      </c>
      <c r="D507" s="16">
        <v>104</v>
      </c>
      <c r="E507" s="16">
        <v>64</v>
      </c>
    </row>
    <row r="508" spans="1:5" x14ac:dyDescent="0.25">
      <c r="A508" s="6" t="s">
        <v>738</v>
      </c>
      <c r="B508" s="6" t="s">
        <v>754</v>
      </c>
      <c r="C508" s="16">
        <v>1</v>
      </c>
      <c r="D508" s="16">
        <f>23+9</f>
        <v>32</v>
      </c>
      <c r="E508" s="16">
        <f>414/9</f>
        <v>46</v>
      </c>
    </row>
    <row r="509" spans="1:5" x14ac:dyDescent="0.25">
      <c r="A509" s="6" t="s">
        <v>738</v>
      </c>
      <c r="B509" s="6" t="s">
        <v>752</v>
      </c>
      <c r="C509" s="16">
        <v>1</v>
      </c>
      <c r="D509" s="16">
        <v>79</v>
      </c>
      <c r="E509" s="16">
        <f>350/5</f>
        <v>70</v>
      </c>
    </row>
    <row r="510" spans="1:5" x14ac:dyDescent="0.25">
      <c r="A510" s="6" t="s">
        <v>738</v>
      </c>
      <c r="B510" s="6" t="s">
        <v>755</v>
      </c>
      <c r="C510" s="16">
        <v>1</v>
      </c>
      <c r="D510" s="16">
        <v>18</v>
      </c>
      <c r="E510" s="16">
        <v>60</v>
      </c>
    </row>
    <row r="511" spans="1:5" x14ac:dyDescent="0.25">
      <c r="A511" s="6" t="s">
        <v>756</v>
      </c>
      <c r="B511" s="6" t="s">
        <v>757</v>
      </c>
      <c r="C511" s="16">
        <v>20</v>
      </c>
      <c r="D511" s="16">
        <v>8</v>
      </c>
      <c r="E511" s="16">
        <f>959.6/8</f>
        <v>119.95</v>
      </c>
    </row>
    <row r="512" spans="1:5" x14ac:dyDescent="0.25">
      <c r="A512" s="6" t="s">
        <v>756</v>
      </c>
      <c r="B512" s="6" t="s">
        <v>758</v>
      </c>
      <c r="C512" s="16">
        <v>20</v>
      </c>
      <c r="D512" s="16">
        <v>8</v>
      </c>
      <c r="E512" s="16">
        <f>959.6/8</f>
        <v>119.95</v>
      </c>
    </row>
    <row r="513" spans="1:5" x14ac:dyDescent="0.25">
      <c r="A513" s="6" t="s">
        <v>756</v>
      </c>
      <c r="B513" s="6" t="s">
        <v>759</v>
      </c>
      <c r="C513" s="16">
        <v>1</v>
      </c>
      <c r="D513" s="16">
        <f>6+10+25+33</f>
        <v>74</v>
      </c>
      <c r="E513" s="16">
        <f>1250/25</f>
        <v>50</v>
      </c>
    </row>
    <row r="514" spans="1:5" x14ac:dyDescent="0.25">
      <c r="A514" s="6" t="s">
        <v>756</v>
      </c>
      <c r="B514" s="6" t="s">
        <v>760</v>
      </c>
      <c r="C514" s="16">
        <v>1</v>
      </c>
      <c r="D514" s="16">
        <v>35</v>
      </c>
      <c r="E514" s="16">
        <v>55</v>
      </c>
    </row>
    <row r="515" spans="1:5" x14ac:dyDescent="0.25">
      <c r="A515" s="6" t="s">
        <v>756</v>
      </c>
      <c r="B515" s="6" t="s">
        <v>761</v>
      </c>
      <c r="C515" s="16">
        <v>1</v>
      </c>
      <c r="D515" s="16">
        <f>3+10+40+15</f>
        <v>68</v>
      </c>
      <c r="E515" s="16">
        <v>30</v>
      </c>
    </row>
    <row r="516" spans="1:5" x14ac:dyDescent="0.25">
      <c r="A516" s="6" t="s">
        <v>756</v>
      </c>
      <c r="B516" s="6" t="s">
        <v>762</v>
      </c>
      <c r="C516" s="16">
        <v>1</v>
      </c>
      <c r="D516" s="16">
        <f>30+15+20+22</f>
        <v>87</v>
      </c>
      <c r="E516" s="16">
        <v>30</v>
      </c>
    </row>
    <row r="517" spans="1:5" x14ac:dyDescent="0.25">
      <c r="A517" s="6" t="s">
        <v>756</v>
      </c>
      <c r="B517" s="6" t="s">
        <v>763</v>
      </c>
      <c r="C517" s="16">
        <v>1</v>
      </c>
      <c r="D517" s="16">
        <f>3+5+40</f>
        <v>48</v>
      </c>
      <c r="E517" s="16">
        <v>50</v>
      </c>
    </row>
    <row r="518" spans="1:5" x14ac:dyDescent="0.25">
      <c r="A518" s="6" t="s">
        <v>756</v>
      </c>
      <c r="B518" s="6" t="s">
        <v>764</v>
      </c>
      <c r="C518" s="16">
        <v>1</v>
      </c>
      <c r="D518" s="16">
        <f>10+6+25</f>
        <v>41</v>
      </c>
      <c r="E518" s="16">
        <v>46</v>
      </c>
    </row>
    <row r="519" spans="1:5" x14ac:dyDescent="0.25">
      <c r="A519" s="6" t="s">
        <v>756</v>
      </c>
      <c r="B519" s="6" t="s">
        <v>765</v>
      </c>
      <c r="C519" s="16">
        <v>1</v>
      </c>
      <c r="D519" s="16">
        <f>3+25</f>
        <v>28</v>
      </c>
      <c r="E519" s="16">
        <v>50</v>
      </c>
    </row>
    <row r="520" spans="1:5" x14ac:dyDescent="0.25">
      <c r="A520" s="6" t="s">
        <v>756</v>
      </c>
      <c r="B520" s="6" t="s">
        <v>766</v>
      </c>
      <c r="C520" s="16">
        <v>1</v>
      </c>
      <c r="D520" s="16">
        <f>18+5+58</f>
        <v>81</v>
      </c>
      <c r="E520" s="16">
        <f>408/6</f>
        <v>68</v>
      </c>
    </row>
    <row r="521" spans="1:5" x14ac:dyDescent="0.25">
      <c r="A521" s="6" t="s">
        <v>756</v>
      </c>
      <c r="B521" s="6" t="s">
        <v>767</v>
      </c>
      <c r="C521" s="16">
        <v>1</v>
      </c>
      <c r="D521" s="16">
        <f>42+11</f>
        <v>53</v>
      </c>
      <c r="E521" s="16">
        <f>210/5</f>
        <v>42</v>
      </c>
    </row>
    <row r="522" spans="1:5" x14ac:dyDescent="0.25">
      <c r="A522" s="6" t="s">
        <v>756</v>
      </c>
      <c r="B522" s="6" t="s">
        <v>768</v>
      </c>
      <c r="C522" s="16">
        <v>1</v>
      </c>
      <c r="D522" s="16">
        <f>24</f>
        <v>24</v>
      </c>
      <c r="E522" s="16">
        <v>50</v>
      </c>
    </row>
    <row r="523" spans="1:5" x14ac:dyDescent="0.25">
      <c r="A523" s="6" t="s">
        <v>756</v>
      </c>
      <c r="B523" s="6" t="s">
        <v>769</v>
      </c>
      <c r="C523" s="16">
        <v>1</v>
      </c>
      <c r="D523" s="16">
        <v>10</v>
      </c>
      <c r="E523" s="16">
        <f>41.4</f>
        <v>41.4</v>
      </c>
    </row>
    <row r="524" spans="1:5" x14ac:dyDescent="0.25">
      <c r="A524" s="6" t="s">
        <v>756</v>
      </c>
      <c r="B524" s="6" t="s">
        <v>770</v>
      </c>
      <c r="C524" s="16">
        <v>1</v>
      </c>
      <c r="D524" s="16">
        <f>58</f>
        <v>58</v>
      </c>
      <c r="E524" s="16">
        <f>310/5</f>
        <v>62</v>
      </c>
    </row>
    <row r="525" spans="1:5" x14ac:dyDescent="0.25">
      <c r="A525" s="6" t="s">
        <v>756</v>
      </c>
      <c r="B525" s="6" t="s">
        <v>771</v>
      </c>
      <c r="C525" s="16">
        <v>1</v>
      </c>
      <c r="D525" s="16">
        <f>69+10+10+85</f>
        <v>174</v>
      </c>
      <c r="E525" s="16">
        <v>35</v>
      </c>
    </row>
    <row r="526" spans="1:5" x14ac:dyDescent="0.25">
      <c r="A526" s="6" t="s">
        <v>756</v>
      </c>
      <c r="B526" s="6" t="s">
        <v>772</v>
      </c>
      <c r="C526" s="16">
        <v>1</v>
      </c>
      <c r="D526" s="16">
        <f>45+40+35+62</f>
        <v>182</v>
      </c>
      <c r="E526" s="16">
        <f>1800/40</f>
        <v>45</v>
      </c>
    </row>
    <row r="527" spans="1:5" x14ac:dyDescent="0.25">
      <c r="A527" s="6" t="s">
        <v>756</v>
      </c>
      <c r="B527" s="6" t="s">
        <v>773</v>
      </c>
      <c r="C527" s="16">
        <v>1</v>
      </c>
      <c r="D527" s="16">
        <f>90+21+15+12</f>
        <v>138</v>
      </c>
      <c r="E527" s="16">
        <v>28</v>
      </c>
    </row>
    <row r="528" spans="1:5" x14ac:dyDescent="0.25">
      <c r="A528" s="6" t="s">
        <v>756</v>
      </c>
      <c r="B528" s="6" t="s">
        <v>774</v>
      </c>
      <c r="C528" s="16">
        <v>1</v>
      </c>
      <c r="D528" s="16">
        <f>42+10+55+120</f>
        <v>227</v>
      </c>
      <c r="E528" s="16">
        <v>20</v>
      </c>
    </row>
    <row r="529" spans="1:5" x14ac:dyDescent="0.25">
      <c r="A529" s="6" t="s">
        <v>756</v>
      </c>
      <c r="B529" s="6" t="s">
        <v>775</v>
      </c>
      <c r="C529" s="16">
        <v>1</v>
      </c>
      <c r="D529" s="16">
        <f>140+9+15+12</f>
        <v>176</v>
      </c>
      <c r="E529" s="16">
        <v>34</v>
      </c>
    </row>
    <row r="530" spans="1:5" x14ac:dyDescent="0.25">
      <c r="A530" s="6" t="s">
        <v>756</v>
      </c>
      <c r="B530" s="6" t="s">
        <v>776</v>
      </c>
      <c r="C530" s="16">
        <v>1</v>
      </c>
      <c r="D530" s="16">
        <f>40+30+30+47</f>
        <v>147</v>
      </c>
      <c r="E530" s="16">
        <v>28</v>
      </c>
    </row>
    <row r="531" spans="1:5" x14ac:dyDescent="0.25">
      <c r="A531" s="6" t="s">
        <v>756</v>
      </c>
      <c r="B531" s="6" t="s">
        <v>777</v>
      </c>
      <c r="C531" s="16">
        <v>1</v>
      </c>
      <c r="D531" s="16">
        <f>9+10+63</f>
        <v>82</v>
      </c>
      <c r="E531" s="16">
        <v>20</v>
      </c>
    </row>
    <row r="532" spans="1:5" x14ac:dyDescent="0.25">
      <c r="A532" s="6" t="s">
        <v>756</v>
      </c>
      <c r="B532" s="6" t="s">
        <v>778</v>
      </c>
      <c r="C532" s="16">
        <v>1</v>
      </c>
      <c r="D532" s="16">
        <f>30+27+15+20+48</f>
        <v>140</v>
      </c>
      <c r="E532" s="16">
        <v>28</v>
      </c>
    </row>
    <row r="533" spans="1:5" x14ac:dyDescent="0.25">
      <c r="A533" s="6" t="s">
        <v>756</v>
      </c>
      <c r="B533" s="6" t="s">
        <v>779</v>
      </c>
      <c r="C533" s="16">
        <v>1</v>
      </c>
      <c r="D533" s="16">
        <f>30+10+20+20</f>
        <v>80</v>
      </c>
      <c r="E533" s="16">
        <v>32</v>
      </c>
    </row>
    <row r="534" spans="1:5" x14ac:dyDescent="0.25">
      <c r="A534" s="6" t="s">
        <v>756</v>
      </c>
      <c r="B534" s="6" t="s">
        <v>780</v>
      </c>
      <c r="C534" s="16">
        <v>1</v>
      </c>
      <c r="D534" s="16">
        <f>50+15+10+17</f>
        <v>92</v>
      </c>
      <c r="E534" s="16">
        <v>40</v>
      </c>
    </row>
    <row r="535" spans="1:5" x14ac:dyDescent="0.25">
      <c r="A535" s="6" t="s">
        <v>781</v>
      </c>
      <c r="B535" s="6" t="s">
        <v>782</v>
      </c>
      <c r="C535" s="16">
        <v>10</v>
      </c>
      <c r="D535" s="16">
        <v>10</v>
      </c>
      <c r="E535" s="16">
        <v>99.95</v>
      </c>
    </row>
    <row r="536" spans="1:5" x14ac:dyDescent="0.25">
      <c r="A536" s="6" t="s">
        <v>781</v>
      </c>
      <c r="B536" s="6" t="s">
        <v>783</v>
      </c>
      <c r="C536" s="16">
        <v>1</v>
      </c>
      <c r="D536" s="16">
        <v>46</v>
      </c>
      <c r="E536" s="16">
        <f>210/5</f>
        <v>42</v>
      </c>
    </row>
    <row r="537" spans="1:5" x14ac:dyDescent="0.25">
      <c r="A537" s="6" t="s">
        <v>781</v>
      </c>
      <c r="B537" s="6" t="s">
        <v>784</v>
      </c>
      <c r="C537" s="16">
        <v>1</v>
      </c>
      <c r="D537" s="16">
        <v>25</v>
      </c>
      <c r="E537" s="16">
        <v>50</v>
      </c>
    </row>
    <row r="538" spans="1:5" x14ac:dyDescent="0.25">
      <c r="A538" s="6" t="s">
        <v>781</v>
      </c>
      <c r="B538" s="6" t="s">
        <v>785</v>
      </c>
      <c r="C538" s="16">
        <v>1</v>
      </c>
      <c r="D538" s="16">
        <f>10+18+60+171</f>
        <v>259</v>
      </c>
      <c r="E538" s="16">
        <v>44</v>
      </c>
    </row>
    <row r="539" spans="1:5" x14ac:dyDescent="0.25">
      <c r="A539" s="6" t="s">
        <v>781</v>
      </c>
      <c r="B539" s="6" t="s">
        <v>786</v>
      </c>
      <c r="C539" s="16">
        <v>1</v>
      </c>
      <c r="D539" s="16">
        <f>16+62</f>
        <v>78</v>
      </c>
      <c r="E539" s="16">
        <v>58</v>
      </c>
    </row>
    <row r="540" spans="1:5" x14ac:dyDescent="0.25">
      <c r="A540" s="6" t="s">
        <v>781</v>
      </c>
      <c r="B540" s="6" t="s">
        <v>787</v>
      </c>
      <c r="C540" s="16">
        <v>10</v>
      </c>
      <c r="D540" s="16">
        <v>10</v>
      </c>
      <c r="E540" s="16">
        <v>99.95</v>
      </c>
    </row>
    <row r="541" spans="1:5" x14ac:dyDescent="0.25">
      <c r="A541" s="6" t="s">
        <v>781</v>
      </c>
      <c r="B541" s="6" t="s">
        <v>788</v>
      </c>
      <c r="C541" s="16">
        <v>1</v>
      </c>
      <c r="D541" s="16">
        <v>36</v>
      </c>
      <c r="E541" s="16">
        <v>50</v>
      </c>
    </row>
    <row r="542" spans="1:5" x14ac:dyDescent="0.25">
      <c r="A542" s="6" t="s">
        <v>781</v>
      </c>
      <c r="B542" s="6" t="s">
        <v>789</v>
      </c>
      <c r="C542" s="16">
        <v>1</v>
      </c>
      <c r="D542" s="16">
        <v>1</v>
      </c>
      <c r="E542" s="16">
        <v>60</v>
      </c>
    </row>
    <row r="543" spans="1:5" x14ac:dyDescent="0.25">
      <c r="A543" s="6" t="s">
        <v>781</v>
      </c>
      <c r="B543" s="6" t="s">
        <v>790</v>
      </c>
      <c r="C543" s="16">
        <v>1</v>
      </c>
      <c r="D543" s="16">
        <f>72+19</f>
        <v>91</v>
      </c>
      <c r="E543" s="16">
        <v>40</v>
      </c>
    </row>
    <row r="544" spans="1:5" x14ac:dyDescent="0.25">
      <c r="A544" s="6" t="s">
        <v>781</v>
      </c>
      <c r="B544" s="6" t="s">
        <v>792</v>
      </c>
      <c r="C544" s="16">
        <v>1</v>
      </c>
      <c r="D544" s="16">
        <v>15</v>
      </c>
      <c r="E544" s="16">
        <v>42</v>
      </c>
    </row>
    <row r="545" spans="1:5" x14ac:dyDescent="0.25">
      <c r="A545" s="6" t="s">
        <v>781</v>
      </c>
      <c r="B545" s="6" t="s">
        <v>791</v>
      </c>
      <c r="C545" s="16">
        <v>1</v>
      </c>
      <c r="D545" s="16">
        <v>40</v>
      </c>
      <c r="E545" s="16">
        <v>50</v>
      </c>
    </row>
    <row r="546" spans="1:5" x14ac:dyDescent="0.25">
      <c r="A546" s="6" t="s">
        <v>781</v>
      </c>
      <c r="B546" s="6" t="s">
        <v>793</v>
      </c>
      <c r="C546" s="16">
        <v>1</v>
      </c>
      <c r="D546" s="16">
        <f>22+19</f>
        <v>41</v>
      </c>
      <c r="E546" s="16">
        <v>30</v>
      </c>
    </row>
    <row r="547" spans="1:5" x14ac:dyDescent="0.25">
      <c r="A547" s="6" t="s">
        <v>781</v>
      </c>
      <c r="B547" s="6" t="s">
        <v>794</v>
      </c>
      <c r="C547" s="16">
        <v>1</v>
      </c>
      <c r="D547" s="16">
        <f>30+6+5+16</f>
        <v>57</v>
      </c>
      <c r="E547" s="16">
        <f>225/5</f>
        <v>45</v>
      </c>
    </row>
    <row r="548" spans="1:5" x14ac:dyDescent="0.25">
      <c r="A548" s="6" t="s">
        <v>795</v>
      </c>
      <c r="B548" s="6" t="s">
        <v>796</v>
      </c>
      <c r="C548" s="16">
        <v>1</v>
      </c>
      <c r="D548" s="16">
        <v>6</v>
      </c>
      <c r="E548" s="16">
        <f>186/3</f>
        <v>62</v>
      </c>
    </row>
    <row r="549" spans="1:5" x14ac:dyDescent="0.25">
      <c r="A549" s="6" t="s">
        <v>781</v>
      </c>
      <c r="B549" s="6" t="s">
        <v>797</v>
      </c>
      <c r="C549" s="16">
        <v>1</v>
      </c>
      <c r="D549" s="16">
        <v>50</v>
      </c>
      <c r="E549" s="16">
        <v>45.5</v>
      </c>
    </row>
    <row r="550" spans="1:5" x14ac:dyDescent="0.25">
      <c r="A550" s="6" t="s">
        <v>781</v>
      </c>
      <c r="B550" s="6" t="s">
        <v>798</v>
      </c>
      <c r="C550" s="16">
        <v>10</v>
      </c>
      <c r="D550" s="16">
        <v>10</v>
      </c>
      <c r="E550" s="16">
        <v>134.94999999999999</v>
      </c>
    </row>
    <row r="551" spans="1:5" x14ac:dyDescent="0.25">
      <c r="A551" s="6" t="s">
        <v>781</v>
      </c>
      <c r="B551" s="6" t="s">
        <v>799</v>
      </c>
      <c r="C551" s="16">
        <v>1</v>
      </c>
      <c r="D551" s="16">
        <f>31+32</f>
        <v>63</v>
      </c>
      <c r="E551" s="16">
        <v>46</v>
      </c>
    </row>
    <row r="552" spans="1:5" x14ac:dyDescent="0.25">
      <c r="A552" s="6" t="s">
        <v>781</v>
      </c>
      <c r="B552" s="6" t="s">
        <v>800</v>
      </c>
      <c r="C552" s="16">
        <v>1</v>
      </c>
      <c r="D552" s="16">
        <v>20</v>
      </c>
      <c r="E552" s="16">
        <f>165/3</f>
        <v>55</v>
      </c>
    </row>
    <row r="553" spans="1:5" x14ac:dyDescent="0.25">
      <c r="A553" s="6" t="s">
        <v>781</v>
      </c>
      <c r="B553" s="6" t="s">
        <v>801</v>
      </c>
      <c r="C553" s="16">
        <v>1</v>
      </c>
      <c r="D553" s="16">
        <f>21+27</f>
        <v>48</v>
      </c>
      <c r="E553" s="16">
        <v>77</v>
      </c>
    </row>
    <row r="554" spans="1:5" x14ac:dyDescent="0.25">
      <c r="A554" s="6" t="s">
        <v>781</v>
      </c>
      <c r="B554" s="6" t="s">
        <v>802</v>
      </c>
      <c r="C554" s="16">
        <v>1</v>
      </c>
      <c r="D554" s="16">
        <v>67</v>
      </c>
      <c r="E554" s="16">
        <f>644/7</f>
        <v>92</v>
      </c>
    </row>
    <row r="555" spans="1:5" x14ac:dyDescent="0.25">
      <c r="A555" s="6" t="s">
        <v>781</v>
      </c>
      <c r="B555" s="6" t="s">
        <v>803</v>
      </c>
      <c r="C555" s="16">
        <v>1</v>
      </c>
      <c r="D555" s="16">
        <v>37</v>
      </c>
      <c r="E555" s="16">
        <f>3848/37</f>
        <v>104</v>
      </c>
    </row>
    <row r="556" spans="1:5" x14ac:dyDescent="0.25">
      <c r="A556" s="6" t="s">
        <v>781</v>
      </c>
      <c r="B556" s="6" t="s">
        <v>804</v>
      </c>
      <c r="C556" s="16">
        <v>1</v>
      </c>
      <c r="D556" s="16">
        <v>10</v>
      </c>
      <c r="E556" s="16">
        <v>77.400000000000006</v>
      </c>
    </row>
    <row r="557" spans="1:5" x14ac:dyDescent="0.25">
      <c r="A557" s="6" t="s">
        <v>781</v>
      </c>
      <c r="B557" s="6" t="s">
        <v>805</v>
      </c>
      <c r="C557" s="16">
        <v>1</v>
      </c>
      <c r="D557" s="16">
        <v>26</v>
      </c>
      <c r="E557" s="16">
        <v>68</v>
      </c>
    </row>
    <row r="558" spans="1:5" x14ac:dyDescent="0.25">
      <c r="A558" s="6" t="s">
        <v>781</v>
      </c>
      <c r="B558" s="6" t="s">
        <v>806</v>
      </c>
      <c r="C558" s="16">
        <v>1</v>
      </c>
      <c r="D558" s="16">
        <v>2</v>
      </c>
      <c r="E558" s="16">
        <f>76/2</f>
        <v>38</v>
      </c>
    </row>
    <row r="559" spans="1:5" x14ac:dyDescent="0.25">
      <c r="A559" s="6" t="s">
        <v>781</v>
      </c>
      <c r="B559" s="6" t="s">
        <v>807</v>
      </c>
      <c r="C559" s="16">
        <v>1</v>
      </c>
      <c r="D559" s="16">
        <f>18+19</f>
        <v>37</v>
      </c>
      <c r="E559" s="16">
        <v>40</v>
      </c>
    </row>
    <row r="560" spans="1:5" x14ac:dyDescent="0.25">
      <c r="A560" s="6" t="s">
        <v>781</v>
      </c>
      <c r="B560" s="6" t="s">
        <v>808</v>
      </c>
      <c r="C560" s="16">
        <v>1</v>
      </c>
      <c r="D560" s="16">
        <f>31+15</f>
        <v>46</v>
      </c>
      <c r="E560" s="16">
        <v>44</v>
      </c>
    </row>
    <row r="561" spans="1:5" x14ac:dyDescent="0.25">
      <c r="A561" s="6" t="s">
        <v>781</v>
      </c>
      <c r="B561" s="6" t="s">
        <v>809</v>
      </c>
      <c r="C561" s="16">
        <v>5</v>
      </c>
      <c r="D561" s="16">
        <v>1</v>
      </c>
      <c r="E561" s="16">
        <v>59.95</v>
      </c>
    </row>
    <row r="562" spans="1:5" x14ac:dyDescent="0.25">
      <c r="A562" s="6" t="s">
        <v>781</v>
      </c>
      <c r="B562" s="6" t="s">
        <v>810</v>
      </c>
      <c r="C562" s="16">
        <v>5</v>
      </c>
      <c r="D562" s="16">
        <v>6</v>
      </c>
      <c r="E562" s="16">
        <v>245</v>
      </c>
    </row>
    <row r="563" spans="1:5" x14ac:dyDescent="0.25">
      <c r="A563" s="6" t="s">
        <v>781</v>
      </c>
      <c r="B563" s="6" t="s">
        <v>811</v>
      </c>
      <c r="C563" s="16">
        <v>1</v>
      </c>
      <c r="D563" s="16">
        <f>19+18</f>
        <v>37</v>
      </c>
      <c r="E563" s="16">
        <f>360/9</f>
        <v>40</v>
      </c>
    </row>
    <row r="564" spans="1:5" x14ac:dyDescent="0.25">
      <c r="A564" s="6" t="s">
        <v>781</v>
      </c>
      <c r="B564" s="6" t="s">
        <v>812</v>
      </c>
      <c r="C564" s="16">
        <v>1</v>
      </c>
      <c r="D564" s="16">
        <v>23</v>
      </c>
      <c r="E564" s="16">
        <v>62</v>
      </c>
    </row>
    <row r="565" spans="1:5" x14ac:dyDescent="0.25">
      <c r="A565" s="6" t="s">
        <v>781</v>
      </c>
      <c r="B565" s="6" t="s">
        <v>813</v>
      </c>
      <c r="C565" s="16">
        <v>1</v>
      </c>
      <c r="D565" s="16">
        <f>21+10+17</f>
        <v>48</v>
      </c>
      <c r="E565" s="16">
        <v>40</v>
      </c>
    </row>
    <row r="566" spans="1:5" x14ac:dyDescent="0.25">
      <c r="A566" s="6" t="s">
        <v>781</v>
      </c>
      <c r="B566" s="6" t="s">
        <v>814</v>
      </c>
      <c r="C566" s="16">
        <v>1</v>
      </c>
      <c r="D566" s="16">
        <f>10+9+15+12</f>
        <v>46</v>
      </c>
      <c r="E566" s="16">
        <v>46.8</v>
      </c>
    </row>
    <row r="567" spans="1:5" x14ac:dyDescent="0.25">
      <c r="A567" s="6" t="s">
        <v>781</v>
      </c>
      <c r="B567" s="6" t="s">
        <v>815</v>
      </c>
      <c r="C567" s="16">
        <v>1</v>
      </c>
      <c r="D567" s="16">
        <v>52</v>
      </c>
      <c r="E567" s="16">
        <v>46</v>
      </c>
    </row>
    <row r="568" spans="1:5" x14ac:dyDescent="0.25">
      <c r="A568" s="6" t="s">
        <v>781</v>
      </c>
      <c r="B568" s="6" t="s">
        <v>816</v>
      </c>
      <c r="C568" s="16">
        <v>1</v>
      </c>
      <c r="D568" s="16">
        <f>21+5+15</f>
        <v>41</v>
      </c>
      <c r="E568" s="16">
        <v>35</v>
      </c>
    </row>
    <row r="569" spans="1:5" x14ac:dyDescent="0.25">
      <c r="A569" s="6" t="s">
        <v>781</v>
      </c>
      <c r="B569" s="6" t="s">
        <v>817</v>
      </c>
      <c r="C569" s="16">
        <v>1</v>
      </c>
      <c r="D569" s="16">
        <f>9+5+18</f>
        <v>32</v>
      </c>
      <c r="E569" s="16">
        <f>175/5</f>
        <v>35</v>
      </c>
    </row>
    <row r="570" spans="1:5" x14ac:dyDescent="0.25">
      <c r="A570" s="6" t="s">
        <v>781</v>
      </c>
      <c r="B570" s="6" t="s">
        <v>818</v>
      </c>
      <c r="C570" s="16">
        <v>1</v>
      </c>
      <c r="D570" s="16">
        <f>9+10+18</f>
        <v>37</v>
      </c>
      <c r="E570" s="16">
        <v>35</v>
      </c>
    </row>
    <row r="571" spans="1:5" x14ac:dyDescent="0.25">
      <c r="A571" s="6" t="s">
        <v>819</v>
      </c>
      <c r="B571" s="6" t="s">
        <v>820</v>
      </c>
      <c r="C571" s="16">
        <v>1</v>
      </c>
      <c r="D571" s="16">
        <v>178</v>
      </c>
      <c r="E571" s="16">
        <v>40</v>
      </c>
    </row>
    <row r="572" spans="1:5" x14ac:dyDescent="0.25">
      <c r="A572" s="6" t="s">
        <v>819</v>
      </c>
      <c r="B572" s="6" t="s">
        <v>821</v>
      </c>
      <c r="C572" s="16">
        <v>1</v>
      </c>
      <c r="D572" s="16">
        <f>10+3+5+40+9</f>
        <v>67</v>
      </c>
      <c r="E572" s="16">
        <v>60</v>
      </c>
    </row>
    <row r="573" spans="1:5" x14ac:dyDescent="0.25">
      <c r="A573" s="6" t="s">
        <v>819</v>
      </c>
      <c r="B573" s="6" t="s">
        <v>279</v>
      </c>
      <c r="C573" s="16">
        <v>1</v>
      </c>
      <c r="D573" s="16">
        <v>1</v>
      </c>
      <c r="E573" s="16">
        <v>35</v>
      </c>
    </row>
    <row r="574" spans="1:5" x14ac:dyDescent="0.25">
      <c r="A574" s="6" t="s">
        <v>819</v>
      </c>
      <c r="B574" s="6" t="s">
        <v>822</v>
      </c>
      <c r="C574" s="16">
        <v>1</v>
      </c>
      <c r="D574" s="16">
        <v>10</v>
      </c>
      <c r="E574" s="16">
        <f>135/3</f>
        <v>45</v>
      </c>
    </row>
    <row r="575" spans="1:5" x14ac:dyDescent="0.25">
      <c r="A575" s="6" t="s">
        <v>819</v>
      </c>
      <c r="B575" s="6" t="s">
        <v>823</v>
      </c>
      <c r="C575" s="16">
        <v>1</v>
      </c>
      <c r="D575" s="16">
        <v>47</v>
      </c>
      <c r="E575" s="16">
        <v>50</v>
      </c>
    </row>
    <row r="576" spans="1:5" x14ac:dyDescent="0.25">
      <c r="A576" s="6" t="s">
        <v>819</v>
      </c>
      <c r="B576" s="6" t="s">
        <v>824</v>
      </c>
      <c r="C576" s="16">
        <v>1</v>
      </c>
      <c r="D576" s="16">
        <v>166</v>
      </c>
      <c r="E576" s="16">
        <v>35</v>
      </c>
    </row>
    <row r="577" spans="1:5" x14ac:dyDescent="0.25">
      <c r="A577" s="6" t="s">
        <v>819</v>
      </c>
      <c r="B577" s="6" t="s">
        <v>825</v>
      </c>
      <c r="C577" s="16">
        <v>1</v>
      </c>
      <c r="D577" s="16">
        <f>19+20+5+12</f>
        <v>56</v>
      </c>
      <c r="E577" s="16">
        <v>45</v>
      </c>
    </row>
    <row r="578" spans="1:5" x14ac:dyDescent="0.25">
      <c r="A578" s="6" t="s">
        <v>819</v>
      </c>
      <c r="B578" s="6" t="s">
        <v>826</v>
      </c>
      <c r="C578" s="16">
        <v>1</v>
      </c>
      <c r="D578" s="16">
        <v>161</v>
      </c>
      <c r="E578" s="16">
        <v>35</v>
      </c>
    </row>
    <row r="579" spans="1:5" x14ac:dyDescent="0.25">
      <c r="A579" s="6" t="s">
        <v>819</v>
      </c>
      <c r="B579" s="6" t="s">
        <v>827</v>
      </c>
      <c r="C579" s="16">
        <v>1</v>
      </c>
      <c r="D579" s="16">
        <f>21+36</f>
        <v>57</v>
      </c>
      <c r="E579" s="16">
        <v>45</v>
      </c>
    </row>
    <row r="580" spans="1:5" x14ac:dyDescent="0.25">
      <c r="A580" s="6" t="s">
        <v>819</v>
      </c>
      <c r="B580" s="6" t="s">
        <v>828</v>
      </c>
      <c r="C580" s="16">
        <v>1</v>
      </c>
      <c r="D580" s="16">
        <f>18+5+56</f>
        <v>79</v>
      </c>
      <c r="E580" s="16">
        <v>35</v>
      </c>
    </row>
    <row r="581" spans="1:5" x14ac:dyDescent="0.25">
      <c r="A581" s="6" t="s">
        <v>819</v>
      </c>
      <c r="B581" s="6" t="s">
        <v>829</v>
      </c>
      <c r="C581" s="16">
        <v>1</v>
      </c>
      <c r="D581" s="16">
        <f>15</f>
        <v>15</v>
      </c>
      <c r="E581" s="16">
        <v>45</v>
      </c>
    </row>
    <row r="582" spans="1:5" x14ac:dyDescent="0.25">
      <c r="A582" s="6" t="s">
        <v>819</v>
      </c>
      <c r="B582" s="6" t="s">
        <v>830</v>
      </c>
      <c r="C582" s="16">
        <v>1</v>
      </c>
      <c r="D582" s="16">
        <v>121</v>
      </c>
      <c r="E582" s="16">
        <v>42</v>
      </c>
    </row>
    <row r="583" spans="1:5" x14ac:dyDescent="0.25">
      <c r="A583" s="6" t="s">
        <v>819</v>
      </c>
      <c r="B583" s="6" t="s">
        <v>831</v>
      </c>
      <c r="C583" s="16">
        <v>1</v>
      </c>
      <c r="D583" s="16">
        <f>10+3+30+8</f>
        <v>51</v>
      </c>
      <c r="E583" s="16">
        <v>62</v>
      </c>
    </row>
    <row r="584" spans="1:5" x14ac:dyDescent="0.25">
      <c r="A584" s="6" t="s">
        <v>819</v>
      </c>
      <c r="B584" s="6" t="s">
        <v>832</v>
      </c>
      <c r="C584" s="16">
        <v>1</v>
      </c>
      <c r="D584" s="16">
        <v>282</v>
      </c>
      <c r="E584" s="16">
        <v>30</v>
      </c>
    </row>
    <row r="585" spans="1:5" x14ac:dyDescent="0.25">
      <c r="A585" s="6" t="s">
        <v>819</v>
      </c>
      <c r="B585" s="6" t="s">
        <v>833</v>
      </c>
      <c r="C585" s="16">
        <v>1</v>
      </c>
      <c r="D585" s="16">
        <f>15+20+92</f>
        <v>127</v>
      </c>
      <c r="E585" s="16">
        <v>44.5</v>
      </c>
    </row>
    <row r="586" spans="1:5" x14ac:dyDescent="0.25">
      <c r="A586" s="6" t="s">
        <v>819</v>
      </c>
      <c r="B586" s="6" t="s">
        <v>834</v>
      </c>
      <c r="C586" s="16">
        <v>1</v>
      </c>
      <c r="D586" s="16">
        <v>168</v>
      </c>
      <c r="E586" s="16">
        <v>30</v>
      </c>
    </row>
    <row r="587" spans="1:5" x14ac:dyDescent="0.25">
      <c r="A587" s="6" t="s">
        <v>819</v>
      </c>
      <c r="B587" s="6" t="s">
        <v>835</v>
      </c>
      <c r="C587" s="16">
        <v>1</v>
      </c>
      <c r="D587" s="16">
        <f>93+5+45</f>
        <v>143</v>
      </c>
      <c r="E587" s="16">
        <v>44.5</v>
      </c>
    </row>
    <row r="588" spans="1:5" x14ac:dyDescent="0.25">
      <c r="A588" s="6" t="s">
        <v>819</v>
      </c>
      <c r="B588" s="6" t="s">
        <v>836</v>
      </c>
      <c r="C588" s="16">
        <v>1</v>
      </c>
      <c r="D588" s="16">
        <v>92</v>
      </c>
      <c r="E588" s="16">
        <v>30</v>
      </c>
    </row>
    <row r="589" spans="1:5" x14ac:dyDescent="0.25">
      <c r="A589" s="6" t="s">
        <v>819</v>
      </c>
      <c r="B589" s="6" t="s">
        <v>837</v>
      </c>
      <c r="C589" s="16">
        <v>1</v>
      </c>
      <c r="D589" s="16">
        <f>12+12</f>
        <v>24</v>
      </c>
      <c r="E589" s="16">
        <v>44.5</v>
      </c>
    </row>
    <row r="590" spans="1:5" x14ac:dyDescent="0.25">
      <c r="A590" s="6" t="s">
        <v>819</v>
      </c>
      <c r="B590" s="6" t="s">
        <v>838</v>
      </c>
      <c r="C590" s="16">
        <v>1</v>
      </c>
      <c r="D590" s="16">
        <v>50</v>
      </c>
      <c r="E590" s="16">
        <f>210/5</f>
        <v>42</v>
      </c>
    </row>
    <row r="591" spans="1:5" x14ac:dyDescent="0.25">
      <c r="A591" s="6" t="s">
        <v>819</v>
      </c>
      <c r="B591" s="6" t="s">
        <v>839</v>
      </c>
      <c r="C591" s="16">
        <v>1</v>
      </c>
      <c r="D591" s="16">
        <v>3</v>
      </c>
      <c r="E591" s="16">
        <f>186/3</f>
        <v>62</v>
      </c>
    </row>
    <row r="592" spans="1:5" x14ac:dyDescent="0.25">
      <c r="A592" s="6" t="s">
        <v>819</v>
      </c>
      <c r="B592" s="6" t="s">
        <v>840</v>
      </c>
      <c r="C592" s="16">
        <v>1</v>
      </c>
      <c r="D592" s="16">
        <v>13</v>
      </c>
      <c r="E592" s="16">
        <f>180/5</f>
        <v>36</v>
      </c>
    </row>
    <row r="593" spans="1:5" x14ac:dyDescent="0.25">
      <c r="A593" s="6" t="s">
        <v>819</v>
      </c>
      <c r="B593" s="6" t="s">
        <v>841</v>
      </c>
      <c r="C593" s="16">
        <v>1</v>
      </c>
      <c r="D593" s="16">
        <v>1</v>
      </c>
      <c r="E593" s="16">
        <v>45</v>
      </c>
    </row>
    <row r="594" spans="1:5" x14ac:dyDescent="0.25">
      <c r="A594" s="6" t="s">
        <v>819</v>
      </c>
      <c r="B594" s="6" t="s">
        <v>842</v>
      </c>
      <c r="C594" s="16">
        <v>1</v>
      </c>
      <c r="D594" s="16">
        <f>6+5+27</f>
        <v>38</v>
      </c>
      <c r="E594" s="16">
        <v>40</v>
      </c>
    </row>
    <row r="595" spans="1:5" x14ac:dyDescent="0.25">
      <c r="A595" s="6" t="s">
        <v>819</v>
      </c>
      <c r="B595" s="6" t="s">
        <v>843</v>
      </c>
      <c r="C595" s="16">
        <v>1</v>
      </c>
      <c r="D595" s="16">
        <f>15+10+13</f>
        <v>38</v>
      </c>
      <c r="E595" s="16">
        <v>50</v>
      </c>
    </row>
    <row r="596" spans="1:5" x14ac:dyDescent="0.25">
      <c r="A596" s="6" t="s">
        <v>819</v>
      </c>
      <c r="B596" s="6" t="s">
        <v>844</v>
      </c>
      <c r="C596" s="16">
        <v>1</v>
      </c>
      <c r="D596" s="16">
        <f>15+15+14</f>
        <v>44</v>
      </c>
      <c r="E596" s="16">
        <v>43</v>
      </c>
    </row>
    <row r="597" spans="1:5" x14ac:dyDescent="0.25">
      <c r="A597" s="6" t="s">
        <v>845</v>
      </c>
      <c r="B597" s="6" t="s">
        <v>848</v>
      </c>
      <c r="C597" s="16">
        <v>1</v>
      </c>
      <c r="D597" s="16">
        <v>12</v>
      </c>
      <c r="E597" s="16">
        <f>144/3</f>
        <v>48</v>
      </c>
    </row>
    <row r="598" spans="1:5" x14ac:dyDescent="0.25">
      <c r="A598" s="6" t="s">
        <v>845</v>
      </c>
      <c r="B598" s="6" t="s">
        <v>849</v>
      </c>
      <c r="C598" s="16">
        <v>1</v>
      </c>
      <c r="D598" s="16">
        <v>14</v>
      </c>
      <c r="E598" s="16">
        <f>240/5</f>
        <v>48</v>
      </c>
    </row>
    <row r="599" spans="1:5" x14ac:dyDescent="0.25">
      <c r="A599" s="6" t="s">
        <v>845</v>
      </c>
      <c r="B599" s="6" t="s">
        <v>850</v>
      </c>
      <c r="C599" s="16">
        <v>1</v>
      </c>
      <c r="D599" s="16">
        <v>16</v>
      </c>
      <c r="E599" s="16">
        <v>55</v>
      </c>
    </row>
    <row r="600" spans="1:5" x14ac:dyDescent="0.25">
      <c r="A600" s="6" t="s">
        <v>845</v>
      </c>
      <c r="B600" s="6" t="s">
        <v>851</v>
      </c>
      <c r="C600" s="16">
        <v>1</v>
      </c>
      <c r="D600" s="16">
        <v>7</v>
      </c>
      <c r="E600" s="16">
        <f>162/3</f>
        <v>54</v>
      </c>
    </row>
    <row r="601" spans="1:5" x14ac:dyDescent="0.25">
      <c r="A601" s="6" t="s">
        <v>846</v>
      </c>
      <c r="B601" s="6" t="s">
        <v>852</v>
      </c>
      <c r="C601" s="16">
        <v>1</v>
      </c>
      <c r="D601" s="16">
        <v>62</v>
      </c>
      <c r="E601" s="16">
        <v>45</v>
      </c>
    </row>
    <row r="602" spans="1:5" x14ac:dyDescent="0.25">
      <c r="A602" s="6" t="s">
        <v>846</v>
      </c>
      <c r="B602" s="6" t="s">
        <v>853</v>
      </c>
      <c r="C602" s="16">
        <v>1</v>
      </c>
      <c r="D602" s="16">
        <v>22</v>
      </c>
      <c r="E602" s="16">
        <v>60</v>
      </c>
    </row>
    <row r="603" spans="1:5" x14ac:dyDescent="0.25">
      <c r="A603" s="6" t="s">
        <v>847</v>
      </c>
      <c r="B603" s="6" t="s">
        <v>854</v>
      </c>
      <c r="C603" s="16">
        <v>1</v>
      </c>
      <c r="D603" s="16">
        <v>23</v>
      </c>
      <c r="E603" s="16">
        <v>105</v>
      </c>
    </row>
    <row r="604" spans="1:5" x14ac:dyDescent="0.25">
      <c r="A604" s="6" t="s">
        <v>847</v>
      </c>
      <c r="B604" s="6" t="s">
        <v>855</v>
      </c>
      <c r="C604" s="16">
        <v>1</v>
      </c>
      <c r="D604" s="16">
        <v>12</v>
      </c>
      <c r="E604" s="16">
        <f>275/5</f>
        <v>55</v>
      </c>
    </row>
    <row r="605" spans="1:5" x14ac:dyDescent="0.25">
      <c r="A605" s="6" t="s">
        <v>847</v>
      </c>
      <c r="B605" s="6" t="s">
        <v>856</v>
      </c>
      <c r="C605" s="16">
        <v>1</v>
      </c>
      <c r="D605" s="16">
        <v>1</v>
      </c>
      <c r="E605" s="16">
        <v>50</v>
      </c>
    </row>
    <row r="606" spans="1:5" x14ac:dyDescent="0.25">
      <c r="A606" s="6" t="s">
        <v>847</v>
      </c>
      <c r="B606" s="6" t="s">
        <v>857</v>
      </c>
      <c r="C606" s="16">
        <v>1</v>
      </c>
      <c r="D606" s="16">
        <v>26</v>
      </c>
      <c r="E606" s="16">
        <v>52</v>
      </c>
    </row>
    <row r="607" spans="1:5" x14ac:dyDescent="0.25">
      <c r="A607" s="6" t="s">
        <v>847</v>
      </c>
      <c r="B607" s="6" t="s">
        <v>858</v>
      </c>
      <c r="C607" s="16">
        <v>1</v>
      </c>
      <c r="D607" s="16">
        <f>27+10+40+47</f>
        <v>124</v>
      </c>
      <c r="E607" s="16">
        <v>55</v>
      </c>
    </row>
    <row r="608" spans="1:5" x14ac:dyDescent="0.25">
      <c r="A608" s="6" t="s">
        <v>209</v>
      </c>
      <c r="B608" s="6" t="s">
        <v>859</v>
      </c>
      <c r="C608" s="16">
        <v>10</v>
      </c>
      <c r="D608" s="16">
        <v>28</v>
      </c>
      <c r="E608" s="16">
        <v>139.94999999999999</v>
      </c>
    </row>
    <row r="609" spans="1:5" x14ac:dyDescent="0.25">
      <c r="A609" s="6" t="s">
        <v>209</v>
      </c>
      <c r="B609" s="6" t="s">
        <v>860</v>
      </c>
      <c r="C609" s="16">
        <v>1</v>
      </c>
      <c r="D609" s="16">
        <f>20+16</f>
        <v>36</v>
      </c>
      <c r="E609" s="16">
        <f>240/5</f>
        <v>48</v>
      </c>
    </row>
    <row r="610" spans="1:5" x14ac:dyDescent="0.25">
      <c r="A610" s="6" t="s">
        <v>209</v>
      </c>
      <c r="B610" s="6" t="s">
        <v>861</v>
      </c>
      <c r="C610" s="16">
        <v>1</v>
      </c>
      <c r="D610" s="16">
        <f>17+6</f>
        <v>23</v>
      </c>
      <c r="E610" s="16">
        <f>336/6</f>
        <v>56</v>
      </c>
    </row>
    <row r="611" spans="1:5" x14ac:dyDescent="0.25">
      <c r="A611" s="6" t="s">
        <v>209</v>
      </c>
      <c r="B611" s="6" t="s">
        <v>862</v>
      </c>
      <c r="C611" s="16">
        <v>10</v>
      </c>
      <c r="D611" s="16">
        <f>25+5</f>
        <v>30</v>
      </c>
      <c r="E611" s="16">
        <v>139.94999999999999</v>
      </c>
    </row>
    <row r="612" spans="1:5" x14ac:dyDescent="0.25">
      <c r="A612" s="6" t="s">
        <v>209</v>
      </c>
      <c r="B612" s="6" t="s">
        <v>863</v>
      </c>
      <c r="C612" s="16">
        <v>1</v>
      </c>
      <c r="D612" s="16">
        <v>10</v>
      </c>
      <c r="E612" s="16">
        <v>64</v>
      </c>
    </row>
    <row r="613" spans="1:5" x14ac:dyDescent="0.25">
      <c r="A613" s="6" t="s">
        <v>209</v>
      </c>
      <c r="B613" s="6" t="s">
        <v>864</v>
      </c>
      <c r="C613" s="16">
        <v>10</v>
      </c>
      <c r="D613" s="16">
        <v>35</v>
      </c>
      <c r="E613" s="16">
        <v>139.94999999999999</v>
      </c>
    </row>
    <row r="614" spans="1:5" x14ac:dyDescent="0.25">
      <c r="A614" s="6" t="s">
        <v>209</v>
      </c>
      <c r="B614" s="6" t="s">
        <v>865</v>
      </c>
      <c r="C614" s="16">
        <v>1</v>
      </c>
      <c r="D614" s="16">
        <f>20+3+15+10</f>
        <v>48</v>
      </c>
      <c r="E614" s="16">
        <v>56</v>
      </c>
    </row>
    <row r="615" spans="1:5" x14ac:dyDescent="0.25">
      <c r="A615" s="6" t="s">
        <v>866</v>
      </c>
      <c r="B615" s="6" t="s">
        <v>867</v>
      </c>
      <c r="C615" s="16">
        <v>1</v>
      </c>
      <c r="D615" s="16">
        <v>15</v>
      </c>
      <c r="E615" s="16">
        <f>300/6</f>
        <v>50</v>
      </c>
    </row>
    <row r="616" spans="1:5" x14ac:dyDescent="0.25">
      <c r="A616" s="6" t="s">
        <v>530</v>
      </c>
      <c r="B616" s="6" t="s">
        <v>868</v>
      </c>
      <c r="C616" s="16">
        <v>6</v>
      </c>
      <c r="D616" s="16">
        <v>1</v>
      </c>
      <c r="E616" s="16">
        <v>179.95</v>
      </c>
    </row>
    <row r="617" spans="1:5" x14ac:dyDescent="0.25">
      <c r="A617" s="6" t="s">
        <v>530</v>
      </c>
      <c r="B617" s="6" t="s">
        <v>869</v>
      </c>
      <c r="C617" s="16">
        <v>1</v>
      </c>
      <c r="D617" s="16">
        <v>22</v>
      </c>
      <c r="E617" s="16">
        <f>230/5</f>
        <v>46</v>
      </c>
    </row>
    <row r="618" spans="1:5" x14ac:dyDescent="0.25">
      <c r="A618" s="6" t="s">
        <v>530</v>
      </c>
      <c r="B618" s="6" t="s">
        <v>870</v>
      </c>
      <c r="C618" s="16">
        <v>1</v>
      </c>
      <c r="D618" s="16">
        <f>13+11</f>
        <v>24</v>
      </c>
      <c r="E618" s="16">
        <f>282/3</f>
        <v>94</v>
      </c>
    </row>
    <row r="619" spans="1:5" x14ac:dyDescent="0.25">
      <c r="A619" s="6" t="s">
        <v>530</v>
      </c>
      <c r="B619" s="6" t="s">
        <v>871</v>
      </c>
      <c r="C619" s="16">
        <v>1</v>
      </c>
      <c r="D619" s="16">
        <v>20</v>
      </c>
      <c r="E619" s="16">
        <f>270/5</f>
        <v>54</v>
      </c>
    </row>
    <row r="620" spans="1:5" x14ac:dyDescent="0.25">
      <c r="A620" s="6" t="s">
        <v>530</v>
      </c>
      <c r="B620" s="6" t="s">
        <v>872</v>
      </c>
      <c r="C620" s="16">
        <v>1</v>
      </c>
      <c r="D620" s="16">
        <f>16+25</f>
        <v>41</v>
      </c>
      <c r="E620" s="16">
        <v>70</v>
      </c>
    </row>
    <row r="621" spans="1:5" x14ac:dyDescent="0.25">
      <c r="A621" s="6" t="s">
        <v>530</v>
      </c>
      <c r="B621" s="6" t="s">
        <v>873</v>
      </c>
      <c r="C621" s="16">
        <v>1</v>
      </c>
      <c r="D621" s="16">
        <v>40</v>
      </c>
      <c r="E621" s="16">
        <v>68</v>
      </c>
    </row>
    <row r="622" spans="1:5" x14ac:dyDescent="0.25">
      <c r="A622" s="6" t="s">
        <v>530</v>
      </c>
      <c r="B622" s="6" t="s">
        <v>874</v>
      </c>
      <c r="C622" s="16">
        <v>1</v>
      </c>
      <c r="D622" s="16">
        <v>23</v>
      </c>
      <c r="E622" s="16">
        <v>78</v>
      </c>
    </row>
    <row r="623" spans="1:5" x14ac:dyDescent="0.25">
      <c r="A623" s="6" t="s">
        <v>530</v>
      </c>
      <c r="B623" s="6" t="s">
        <v>875</v>
      </c>
      <c r="C623" s="16">
        <v>1</v>
      </c>
      <c r="D623" s="16">
        <v>23</v>
      </c>
      <c r="E623" s="16">
        <v>76</v>
      </c>
    </row>
    <row r="624" spans="1:5" x14ac:dyDescent="0.25">
      <c r="A624" s="6" t="s">
        <v>530</v>
      </c>
      <c r="B624" s="6" t="s">
        <v>876</v>
      </c>
      <c r="C624" s="16">
        <v>1</v>
      </c>
      <c r="D624" s="16">
        <v>23</v>
      </c>
      <c r="E624" s="16">
        <f>550/11</f>
        <v>50</v>
      </c>
    </row>
    <row r="625" spans="1:5" x14ac:dyDescent="0.25">
      <c r="A625" s="6" t="s">
        <v>530</v>
      </c>
      <c r="B625" s="6" t="s">
        <v>877</v>
      </c>
      <c r="C625" s="16">
        <v>1</v>
      </c>
      <c r="D625" s="16">
        <v>7</v>
      </c>
      <c r="E625" s="16">
        <v>40</v>
      </c>
    </row>
    <row r="626" spans="1:5" x14ac:dyDescent="0.25">
      <c r="A626" s="6" t="s">
        <v>214</v>
      </c>
      <c r="B626" s="6" t="s">
        <v>879</v>
      </c>
      <c r="C626" s="16">
        <v>1</v>
      </c>
      <c r="D626" s="16">
        <f>9+25+15</f>
        <v>49</v>
      </c>
      <c r="E626" s="16">
        <v>28</v>
      </c>
    </row>
    <row r="627" spans="1:5" x14ac:dyDescent="0.25">
      <c r="A627" s="6" t="s">
        <v>214</v>
      </c>
      <c r="B627" s="6" t="s">
        <v>880</v>
      </c>
      <c r="C627" s="16">
        <v>1</v>
      </c>
      <c r="D627" s="16">
        <f>6+15+2+15</f>
        <v>38</v>
      </c>
      <c r="E627" s="16">
        <v>28</v>
      </c>
    </row>
    <row r="628" spans="1:5" x14ac:dyDescent="0.25">
      <c r="A628" s="6" t="s">
        <v>214</v>
      </c>
      <c r="B628" s="6" t="s">
        <v>881</v>
      </c>
      <c r="C628" s="16">
        <v>1</v>
      </c>
      <c r="D628" s="16">
        <f>3+15+10</f>
        <v>28</v>
      </c>
      <c r="E628" s="16">
        <v>28</v>
      </c>
    </row>
    <row r="629" spans="1:5" x14ac:dyDescent="0.25">
      <c r="A629" s="6" t="s">
        <v>878</v>
      </c>
      <c r="B629" s="6" t="s">
        <v>882</v>
      </c>
      <c r="C629" s="16">
        <v>1</v>
      </c>
      <c r="D629" s="16">
        <v>211</v>
      </c>
      <c r="E629" s="16">
        <v>25</v>
      </c>
    </row>
    <row r="630" spans="1:5" x14ac:dyDescent="0.25">
      <c r="A630" s="6" t="s">
        <v>878</v>
      </c>
      <c r="B630" s="6" t="s">
        <v>883</v>
      </c>
      <c r="C630" s="16">
        <v>1</v>
      </c>
      <c r="D630" s="16">
        <f>30+9+45+77</f>
        <v>161</v>
      </c>
      <c r="E630" s="16">
        <v>25</v>
      </c>
    </row>
    <row r="631" spans="1:5" x14ac:dyDescent="0.25">
      <c r="A631" s="6" t="s">
        <v>878</v>
      </c>
      <c r="B631" s="6" t="s">
        <v>884</v>
      </c>
      <c r="C631" s="16">
        <v>1</v>
      </c>
      <c r="D631" s="16">
        <v>147</v>
      </c>
      <c r="E631" s="16">
        <v>25</v>
      </c>
    </row>
    <row r="632" spans="1:5" x14ac:dyDescent="0.25">
      <c r="A632" s="6" t="s">
        <v>214</v>
      </c>
      <c r="B632" s="6" t="s">
        <v>885</v>
      </c>
      <c r="C632" s="16">
        <v>1</v>
      </c>
      <c r="D632" s="16">
        <f>9+10+11</f>
        <v>30</v>
      </c>
      <c r="E632" s="16">
        <v>52</v>
      </c>
    </row>
    <row r="633" spans="1:5" x14ac:dyDescent="0.25">
      <c r="A633" s="6" t="s">
        <v>214</v>
      </c>
      <c r="B633" s="6" t="s">
        <v>886</v>
      </c>
      <c r="C633" s="16">
        <v>1</v>
      </c>
      <c r="D633" s="16">
        <f>15+16</f>
        <v>31</v>
      </c>
      <c r="E633" s="16">
        <v>52</v>
      </c>
    </row>
    <row r="634" spans="1:5" x14ac:dyDescent="0.25">
      <c r="A634" s="6" t="s">
        <v>214</v>
      </c>
      <c r="B634" s="6" t="s">
        <v>887</v>
      </c>
      <c r="C634" s="16">
        <v>1</v>
      </c>
      <c r="D634" s="16">
        <v>10</v>
      </c>
      <c r="E634" s="16">
        <f>135/3</f>
        <v>45</v>
      </c>
    </row>
    <row r="635" spans="1:5" x14ac:dyDescent="0.25">
      <c r="A635" s="6" t="s">
        <v>214</v>
      </c>
      <c r="B635" s="6" t="s">
        <v>888</v>
      </c>
      <c r="C635" s="16">
        <v>1</v>
      </c>
      <c r="D635" s="16">
        <v>9</v>
      </c>
      <c r="E635" s="16">
        <v>45</v>
      </c>
    </row>
    <row r="636" spans="1:5" x14ac:dyDescent="0.25">
      <c r="A636" s="6" t="s">
        <v>214</v>
      </c>
      <c r="B636" s="6" t="s">
        <v>889</v>
      </c>
      <c r="C636" s="16">
        <v>1</v>
      </c>
      <c r="D636" s="16">
        <f>30+24+30+156</f>
        <v>240</v>
      </c>
      <c r="E636" s="16">
        <f>900/30</f>
        <v>30</v>
      </c>
    </row>
    <row r="637" spans="1:5" x14ac:dyDescent="0.25">
      <c r="A637" s="6" t="s">
        <v>214</v>
      </c>
      <c r="B637" s="6" t="s">
        <v>890</v>
      </c>
      <c r="C637" s="16">
        <v>1</v>
      </c>
      <c r="D637" s="16">
        <v>27</v>
      </c>
      <c r="E637" s="16">
        <v>50</v>
      </c>
    </row>
    <row r="638" spans="1:5" x14ac:dyDescent="0.25">
      <c r="A638" s="6" t="s">
        <v>214</v>
      </c>
      <c r="B638" s="6" t="s">
        <v>891</v>
      </c>
      <c r="C638" s="16">
        <v>1</v>
      </c>
      <c r="D638" s="16">
        <v>25</v>
      </c>
      <c r="E638" s="16">
        <f>468/9</f>
        <v>52</v>
      </c>
    </row>
    <row r="639" spans="1:5" x14ac:dyDescent="0.25">
      <c r="A639" s="6" t="s">
        <v>214</v>
      </c>
      <c r="B639" s="6" t="s">
        <v>892</v>
      </c>
      <c r="C639" s="16">
        <v>1</v>
      </c>
      <c r="D639" s="16">
        <v>19</v>
      </c>
      <c r="E639" s="16">
        <f>260/5</f>
        <v>52</v>
      </c>
    </row>
    <row r="640" spans="1:5" x14ac:dyDescent="0.25">
      <c r="A640" s="6" t="s">
        <v>214</v>
      </c>
      <c r="B640" s="6" t="s">
        <v>893</v>
      </c>
      <c r="C640" s="16">
        <v>1</v>
      </c>
      <c r="D640" s="16">
        <v>24</v>
      </c>
      <c r="E640" s="16">
        <f>208/4</f>
        <v>52</v>
      </c>
    </row>
    <row r="641" spans="1:5" x14ac:dyDescent="0.25">
      <c r="A641" s="6" t="s">
        <v>214</v>
      </c>
      <c r="B641" s="6" t="s">
        <v>894</v>
      </c>
      <c r="C641" s="16">
        <v>1</v>
      </c>
      <c r="D641" s="16">
        <v>29</v>
      </c>
      <c r="E641" s="16">
        <f>260/5</f>
        <v>52</v>
      </c>
    </row>
    <row r="642" spans="1:5" x14ac:dyDescent="0.25">
      <c r="A642" s="6" t="s">
        <v>214</v>
      </c>
      <c r="B642" s="6" t="s">
        <v>895</v>
      </c>
      <c r="C642" s="16">
        <v>1</v>
      </c>
      <c r="D642" s="16">
        <v>25</v>
      </c>
      <c r="E642" s="16">
        <f>208/4</f>
        <v>52</v>
      </c>
    </row>
    <row r="643" spans="1:5" x14ac:dyDescent="0.25">
      <c r="A643" s="6" t="s">
        <v>214</v>
      </c>
      <c r="B643" s="6" t="s">
        <v>896</v>
      </c>
      <c r="C643" s="16">
        <v>1</v>
      </c>
      <c r="D643" s="16">
        <v>17</v>
      </c>
      <c r="E643" s="16">
        <f>270/5</f>
        <v>54</v>
      </c>
    </row>
    <row r="644" spans="1:5" x14ac:dyDescent="0.25">
      <c r="A644" s="6" t="s">
        <v>214</v>
      </c>
      <c r="B644" s="6" t="s">
        <v>897</v>
      </c>
      <c r="C644" s="16">
        <v>1</v>
      </c>
      <c r="D644" s="16">
        <v>34</v>
      </c>
      <c r="E644" s="16">
        <f>171/6</f>
        <v>28.5</v>
      </c>
    </row>
    <row r="645" spans="1:5" x14ac:dyDescent="0.25">
      <c r="A645" s="6" t="s">
        <v>214</v>
      </c>
      <c r="B645" s="6" t="s">
        <v>898</v>
      </c>
      <c r="C645" s="16">
        <v>1</v>
      </c>
      <c r="D645" s="16">
        <f>12+5+12</f>
        <v>29</v>
      </c>
      <c r="E645" s="16">
        <v>50</v>
      </c>
    </row>
    <row r="646" spans="1:5" x14ac:dyDescent="0.25">
      <c r="A646" s="6" t="s">
        <v>214</v>
      </c>
      <c r="B646" s="6" t="s">
        <v>899</v>
      </c>
      <c r="C646" s="16">
        <v>1</v>
      </c>
      <c r="D646" s="16">
        <f>6+10+11</f>
        <v>27</v>
      </c>
      <c r="E646" s="16">
        <v>64</v>
      </c>
    </row>
    <row r="647" spans="1:5" x14ac:dyDescent="0.25">
      <c r="A647" s="6" t="s">
        <v>214</v>
      </c>
      <c r="B647" s="6" t="s">
        <v>900</v>
      </c>
      <c r="C647" s="16">
        <v>1</v>
      </c>
      <c r="D647" s="16">
        <f>9+5+12</f>
        <v>26</v>
      </c>
      <c r="E647" s="16">
        <f>150/5</f>
        <v>30</v>
      </c>
    </row>
    <row r="648" spans="1:5" x14ac:dyDescent="0.25">
      <c r="A648" s="6" t="s">
        <v>214</v>
      </c>
      <c r="B648" s="6" t="s">
        <v>901</v>
      </c>
      <c r="C648" s="16">
        <v>1</v>
      </c>
      <c r="D648" s="16">
        <f>6+20+14</f>
        <v>40</v>
      </c>
      <c r="E648" s="16">
        <v>50</v>
      </c>
    </row>
    <row r="649" spans="1:5" x14ac:dyDescent="0.25">
      <c r="A649" s="6" t="s">
        <v>214</v>
      </c>
      <c r="B649" s="6" t="s">
        <v>902</v>
      </c>
      <c r="C649" s="16">
        <v>1</v>
      </c>
      <c r="D649" s="16">
        <f>10+6+22</f>
        <v>38</v>
      </c>
      <c r="E649" s="16">
        <v>56</v>
      </c>
    </row>
    <row r="650" spans="1:5" x14ac:dyDescent="0.25">
      <c r="A650" s="6" t="s">
        <v>214</v>
      </c>
      <c r="B650" s="6" t="s">
        <v>903</v>
      </c>
      <c r="C650" s="16">
        <v>1</v>
      </c>
      <c r="D650" s="16">
        <f>30+15+27</f>
        <v>72</v>
      </c>
      <c r="E650" s="16">
        <f>636/15</f>
        <v>42.4</v>
      </c>
    </row>
    <row r="651" spans="1:5" x14ac:dyDescent="0.25">
      <c r="A651" s="6" t="s">
        <v>214</v>
      </c>
      <c r="B651" s="6" t="s">
        <v>904</v>
      </c>
      <c r="C651" s="16">
        <v>1</v>
      </c>
      <c r="D651" s="16">
        <v>116</v>
      </c>
      <c r="E651" s="16">
        <f>1200/30</f>
        <v>40</v>
      </c>
    </row>
    <row r="652" spans="1:5" x14ac:dyDescent="0.25">
      <c r="A652" s="6" t="s">
        <v>214</v>
      </c>
      <c r="B652" s="6" t="s">
        <v>905</v>
      </c>
      <c r="C652" s="16">
        <v>1</v>
      </c>
      <c r="D652" s="16">
        <v>92</v>
      </c>
      <c r="E652" s="16">
        <f>840/12</f>
        <v>70</v>
      </c>
    </row>
    <row r="653" spans="1:5" x14ac:dyDescent="0.25">
      <c r="A653" s="6" t="s">
        <v>214</v>
      </c>
      <c r="B653" s="6" t="s">
        <v>906</v>
      </c>
      <c r="C653" s="16">
        <v>1</v>
      </c>
      <c r="D653" s="16">
        <f>10+8</f>
        <v>18</v>
      </c>
      <c r="E653" s="16">
        <v>64</v>
      </c>
    </row>
    <row r="654" spans="1:5" x14ac:dyDescent="0.25">
      <c r="A654" s="6" t="s">
        <v>214</v>
      </c>
      <c r="B654" s="6" t="s">
        <v>907</v>
      </c>
      <c r="C654" s="16">
        <v>1</v>
      </c>
      <c r="D654" s="16">
        <v>23</v>
      </c>
      <c r="E654" s="16">
        <v>80</v>
      </c>
    </row>
    <row r="655" spans="1:5" x14ac:dyDescent="0.25">
      <c r="A655" s="6" t="s">
        <v>214</v>
      </c>
      <c r="B655" s="6" t="s">
        <v>908</v>
      </c>
      <c r="C655" s="16">
        <v>1</v>
      </c>
      <c r="D655" s="16">
        <v>1</v>
      </c>
      <c r="E655" s="16">
        <v>48</v>
      </c>
    </row>
    <row r="656" spans="1:5" x14ac:dyDescent="0.25">
      <c r="A656" s="6" t="s">
        <v>214</v>
      </c>
      <c r="B656" s="6" t="s">
        <v>909</v>
      </c>
      <c r="C656" s="16">
        <v>1</v>
      </c>
      <c r="D656" s="16">
        <f>15+5+10+37</f>
        <v>67</v>
      </c>
      <c r="E656" s="16">
        <f>230/5</f>
        <v>46</v>
      </c>
    </row>
    <row r="657" spans="1:5" x14ac:dyDescent="0.25">
      <c r="A657" s="6" t="s">
        <v>214</v>
      </c>
      <c r="B657" s="6" t="s">
        <v>910</v>
      </c>
      <c r="C657" s="16">
        <v>1</v>
      </c>
      <c r="D657" s="16">
        <v>13</v>
      </c>
      <c r="E657" s="16">
        <f>186/3</f>
        <v>62</v>
      </c>
    </row>
    <row r="658" spans="1:5" x14ac:dyDescent="0.25">
      <c r="A658" s="6" t="s">
        <v>214</v>
      </c>
      <c r="B658" s="6" t="s">
        <v>911</v>
      </c>
      <c r="C658" s="16">
        <v>1</v>
      </c>
      <c r="D658" s="16">
        <f>6+5+8</f>
        <v>19</v>
      </c>
      <c r="E658" s="16">
        <f>370/5</f>
        <v>74</v>
      </c>
    </row>
    <row r="659" spans="1:5" x14ac:dyDescent="0.25">
      <c r="A659" s="6" t="s">
        <v>214</v>
      </c>
      <c r="B659" s="6" t="s">
        <v>912</v>
      </c>
      <c r="C659" s="16">
        <v>1</v>
      </c>
      <c r="D659" s="16">
        <v>5</v>
      </c>
      <c r="E659" s="16">
        <f>240/3</f>
        <v>80</v>
      </c>
    </row>
    <row r="660" spans="1:5" x14ac:dyDescent="0.25">
      <c r="A660" s="6" t="s">
        <v>214</v>
      </c>
      <c r="B660" s="6" t="s">
        <v>913</v>
      </c>
      <c r="C660" s="16">
        <v>1</v>
      </c>
      <c r="D660" s="16">
        <f>10+2</f>
        <v>12</v>
      </c>
      <c r="E660" s="16">
        <v>73.8</v>
      </c>
    </row>
    <row r="661" spans="1:5" x14ac:dyDescent="0.25">
      <c r="A661" s="6" t="s">
        <v>214</v>
      </c>
      <c r="B661" s="6" t="s">
        <v>914</v>
      </c>
      <c r="C661" s="16">
        <v>1</v>
      </c>
      <c r="D661" s="16">
        <f>9+7</f>
        <v>16</v>
      </c>
      <c r="E661" s="16">
        <f>720/9</f>
        <v>80</v>
      </c>
    </row>
    <row r="662" spans="1:5" x14ac:dyDescent="0.25">
      <c r="A662" s="6" t="s">
        <v>214</v>
      </c>
      <c r="B662" s="6" t="s">
        <v>915</v>
      </c>
      <c r="C662" s="16">
        <v>1</v>
      </c>
      <c r="D662" s="16">
        <f>6+10+10+28</f>
        <v>54</v>
      </c>
      <c r="E662" s="16">
        <v>39.6</v>
      </c>
    </row>
    <row r="663" spans="1:5" x14ac:dyDescent="0.25">
      <c r="A663" s="6" t="s">
        <v>214</v>
      </c>
      <c r="B663" s="6" t="s">
        <v>916</v>
      </c>
      <c r="C663" s="16">
        <v>1</v>
      </c>
      <c r="D663" s="16">
        <v>28</v>
      </c>
      <c r="E663" s="16">
        <v>62</v>
      </c>
    </row>
    <row r="664" spans="1:5" x14ac:dyDescent="0.25">
      <c r="A664" s="6" t="s">
        <v>917</v>
      </c>
      <c r="B664" s="6" t="s">
        <v>918</v>
      </c>
      <c r="C664" s="16">
        <v>1</v>
      </c>
      <c r="D664" s="16">
        <v>1</v>
      </c>
      <c r="E664" s="16">
        <v>299.95</v>
      </c>
    </row>
    <row r="665" spans="1:5" x14ac:dyDescent="0.25">
      <c r="A665" s="6" t="s">
        <v>917</v>
      </c>
      <c r="B665" s="6" t="s">
        <v>919</v>
      </c>
      <c r="C665" s="16">
        <v>1</v>
      </c>
      <c r="D665" s="16">
        <v>2</v>
      </c>
      <c r="E665" s="16">
        <v>58</v>
      </c>
    </row>
    <row r="666" spans="1:5" x14ac:dyDescent="0.25">
      <c r="A666" s="6" t="s">
        <v>920</v>
      </c>
      <c r="B666" s="6" t="s">
        <v>921</v>
      </c>
      <c r="C666" s="16">
        <v>1</v>
      </c>
      <c r="D666" s="16">
        <f>10+24+19</f>
        <v>53</v>
      </c>
      <c r="E666" s="16">
        <v>78</v>
      </c>
    </row>
    <row r="667" spans="1:5" x14ac:dyDescent="0.25">
      <c r="A667" s="6" t="s">
        <v>920</v>
      </c>
      <c r="B667" s="6" t="s">
        <v>922</v>
      </c>
      <c r="C667" s="16">
        <v>1</v>
      </c>
      <c r="D667" s="16">
        <f>10+24+18</f>
        <v>52</v>
      </c>
      <c r="E667" s="16">
        <v>78</v>
      </c>
    </row>
    <row r="668" spans="1:5" x14ac:dyDescent="0.25">
      <c r="A668" s="6" t="s">
        <v>920</v>
      </c>
      <c r="B668" s="6" t="s">
        <v>923</v>
      </c>
      <c r="C668" s="16">
        <v>1</v>
      </c>
      <c r="D668" s="16">
        <f>10+6+10</f>
        <v>26</v>
      </c>
      <c r="E668" s="16">
        <v>48</v>
      </c>
    </row>
    <row r="669" spans="1:5" x14ac:dyDescent="0.25">
      <c r="A669" s="6" t="s">
        <v>920</v>
      </c>
      <c r="B669" s="6" t="s">
        <v>924</v>
      </c>
      <c r="C669" s="16">
        <v>1</v>
      </c>
      <c r="D669" s="16">
        <f>3+10+13</f>
        <v>26</v>
      </c>
      <c r="E669" s="16">
        <v>48</v>
      </c>
    </row>
    <row r="670" spans="1:5" x14ac:dyDescent="0.25">
      <c r="A670" s="6" t="s">
        <v>920</v>
      </c>
      <c r="B670" s="6" t="s">
        <v>925</v>
      </c>
      <c r="C670" s="16">
        <v>1</v>
      </c>
      <c r="D670" s="16">
        <f>3+5+11</f>
        <v>19</v>
      </c>
      <c r="E670" s="16">
        <f>360/5</f>
        <v>72</v>
      </c>
    </row>
    <row r="671" spans="1:5" x14ac:dyDescent="0.25">
      <c r="A671" s="6" t="s">
        <v>920</v>
      </c>
      <c r="B671" s="6" t="s">
        <v>926</v>
      </c>
      <c r="C671" s="16">
        <v>1</v>
      </c>
      <c r="D671" s="16">
        <f>6+5+7</f>
        <v>18</v>
      </c>
      <c r="E671" s="16">
        <v>72</v>
      </c>
    </row>
    <row r="672" spans="1:5" x14ac:dyDescent="0.25">
      <c r="A672" s="6" t="s">
        <v>927</v>
      </c>
      <c r="B672" s="6" t="s">
        <v>928</v>
      </c>
      <c r="C672" s="16">
        <v>1</v>
      </c>
      <c r="D672" s="16">
        <v>116</v>
      </c>
      <c r="E672" s="16">
        <v>50</v>
      </c>
    </row>
    <row r="673" spans="1:5" x14ac:dyDescent="0.25">
      <c r="A673" s="6" t="s">
        <v>929</v>
      </c>
      <c r="B673" s="6" t="s">
        <v>930</v>
      </c>
      <c r="C673" s="16">
        <v>1</v>
      </c>
      <c r="D673" s="16">
        <v>24</v>
      </c>
      <c r="E673" s="16">
        <f>276/6</f>
        <v>46</v>
      </c>
    </row>
    <row r="674" spans="1:5" x14ac:dyDescent="0.25">
      <c r="A674" s="6" t="s">
        <v>929</v>
      </c>
      <c r="B674" s="6" t="s">
        <v>931</v>
      </c>
      <c r="C674" s="16">
        <v>1</v>
      </c>
      <c r="D674" s="16">
        <v>24</v>
      </c>
      <c r="E674" s="16">
        <f>276/6</f>
        <v>46</v>
      </c>
    </row>
    <row r="675" spans="1:5" x14ac:dyDescent="0.25">
      <c r="A675" s="6" t="s">
        <v>929</v>
      </c>
      <c r="B675" s="6" t="s">
        <v>932</v>
      </c>
      <c r="C675" s="16">
        <v>1</v>
      </c>
      <c r="D675" s="16">
        <v>24</v>
      </c>
      <c r="E675" s="16">
        <f>276/6</f>
        <v>46</v>
      </c>
    </row>
    <row r="676" spans="1:5" x14ac:dyDescent="0.25">
      <c r="A676" s="6" t="s">
        <v>929</v>
      </c>
      <c r="B676" s="6" t="s">
        <v>933</v>
      </c>
      <c r="C676" s="16">
        <v>1</v>
      </c>
      <c r="D676" s="16">
        <f>3+15+49</f>
        <v>67</v>
      </c>
      <c r="E676" s="16">
        <v>68</v>
      </c>
    </row>
    <row r="677" spans="1:5" x14ac:dyDescent="0.25">
      <c r="A677" s="6" t="s">
        <v>929</v>
      </c>
      <c r="B677" s="6" t="s">
        <v>934</v>
      </c>
      <c r="C677" s="16">
        <v>1</v>
      </c>
      <c r="D677" s="16">
        <f>10+9+33</f>
        <v>52</v>
      </c>
      <c r="E677" s="16">
        <v>68</v>
      </c>
    </row>
    <row r="678" spans="1:5" x14ac:dyDescent="0.25">
      <c r="A678" s="6" t="s">
        <v>929</v>
      </c>
      <c r="B678" s="6" t="s">
        <v>935</v>
      </c>
      <c r="C678" s="16">
        <v>1</v>
      </c>
      <c r="D678" s="16">
        <f>10+15+5+25+28</f>
        <v>83</v>
      </c>
      <c r="E678" s="16">
        <v>68</v>
      </c>
    </row>
    <row r="679" spans="1:5" x14ac:dyDescent="0.25">
      <c r="A679" s="6" t="s">
        <v>929</v>
      </c>
      <c r="B679" s="6" t="s">
        <v>936</v>
      </c>
      <c r="C679" s="16">
        <v>1</v>
      </c>
      <c r="D679" s="16">
        <v>26</v>
      </c>
      <c r="E679" s="16">
        <v>68</v>
      </c>
    </row>
    <row r="680" spans="1:5" x14ac:dyDescent="0.25">
      <c r="A680" s="6" t="s">
        <v>929</v>
      </c>
      <c r="B680" s="6" t="s">
        <v>937</v>
      </c>
      <c r="C680" s="16">
        <v>1</v>
      </c>
      <c r="D680" s="16">
        <f>10+9+5+36</f>
        <v>60</v>
      </c>
      <c r="E680" s="16">
        <v>66</v>
      </c>
    </row>
    <row r="681" spans="1:5" x14ac:dyDescent="0.25">
      <c r="A681" s="6" t="s">
        <v>929</v>
      </c>
      <c r="B681" s="6" t="s">
        <v>938</v>
      </c>
      <c r="C681" s="16">
        <v>1</v>
      </c>
      <c r="D681" s="16">
        <f>3+5+12</f>
        <v>20</v>
      </c>
      <c r="E681" s="16">
        <v>66</v>
      </c>
    </row>
    <row r="682" spans="1:5" x14ac:dyDescent="0.25">
      <c r="A682" s="6" t="s">
        <v>929</v>
      </c>
      <c r="B682" s="6" t="s">
        <v>939</v>
      </c>
      <c r="C682" s="16">
        <v>1</v>
      </c>
      <c r="D682" s="16">
        <f>6+5+25</f>
        <v>36</v>
      </c>
      <c r="E682" s="16">
        <v>66</v>
      </c>
    </row>
    <row r="683" spans="1:5" x14ac:dyDescent="0.25">
      <c r="A683" s="6" t="s">
        <v>940</v>
      </c>
      <c r="B683" s="6" t="s">
        <v>941</v>
      </c>
      <c r="C683" s="16">
        <v>1</v>
      </c>
      <c r="D683" s="16">
        <f>21+5+20</f>
        <v>46</v>
      </c>
      <c r="E683" s="16">
        <f>320/5</f>
        <v>64</v>
      </c>
    </row>
    <row r="684" spans="1:5" x14ac:dyDescent="0.25">
      <c r="A684" s="6" t="s">
        <v>940</v>
      </c>
      <c r="B684" s="6" t="s">
        <v>942</v>
      </c>
      <c r="C684" s="16">
        <v>1</v>
      </c>
      <c r="D684" s="16">
        <f>9+30+20</f>
        <v>59</v>
      </c>
      <c r="E684" s="16">
        <f>612/9</f>
        <v>68</v>
      </c>
    </row>
    <row r="685" spans="1:5" x14ac:dyDescent="0.25">
      <c r="A685" s="6" t="s">
        <v>940</v>
      </c>
      <c r="B685" s="6" t="s">
        <v>943</v>
      </c>
      <c r="C685" s="16">
        <v>1</v>
      </c>
      <c r="D685" s="16">
        <f>15+49</f>
        <v>64</v>
      </c>
      <c r="E685" s="16">
        <f>720/15</f>
        <v>48</v>
      </c>
    </row>
    <row r="686" spans="1:5" x14ac:dyDescent="0.25">
      <c r="A686" s="6" t="s">
        <v>940</v>
      </c>
      <c r="B686" s="6" t="s">
        <v>944</v>
      </c>
      <c r="C686" s="16">
        <v>1</v>
      </c>
      <c r="D686" s="16">
        <f>15+59</f>
        <v>74</v>
      </c>
      <c r="E686" s="16">
        <v>42</v>
      </c>
    </row>
    <row r="687" spans="1:5" x14ac:dyDescent="0.25">
      <c r="A687" s="6" t="s">
        <v>940</v>
      </c>
      <c r="B687" s="6" t="s">
        <v>945</v>
      </c>
      <c r="C687" s="16">
        <v>1</v>
      </c>
      <c r="D687" s="16">
        <f>9+20+37</f>
        <v>66</v>
      </c>
      <c r="E687" s="16">
        <f>1230/20</f>
        <v>61.5</v>
      </c>
    </row>
    <row r="688" spans="1:5" x14ac:dyDescent="0.25">
      <c r="A688" s="6" t="s">
        <v>940</v>
      </c>
      <c r="B688" s="6" t="s">
        <v>946</v>
      </c>
      <c r="C688" s="16">
        <v>1</v>
      </c>
      <c r="D688" s="16">
        <f>20+3+20+18</f>
        <v>61</v>
      </c>
      <c r="E688" s="16">
        <v>31.5</v>
      </c>
    </row>
    <row r="689" spans="1:5" x14ac:dyDescent="0.25">
      <c r="A689" s="6" t="s">
        <v>940</v>
      </c>
      <c r="B689" s="6" t="s">
        <v>947</v>
      </c>
      <c r="C689" s="16">
        <v>1</v>
      </c>
      <c r="D689" s="16">
        <f>20+5</f>
        <v>25</v>
      </c>
      <c r="E689" s="16">
        <v>94</v>
      </c>
    </row>
    <row r="690" spans="1:5" x14ac:dyDescent="0.25">
      <c r="A690" s="6" t="s">
        <v>940</v>
      </c>
      <c r="B690" s="6" t="s">
        <v>948</v>
      </c>
      <c r="C690" s="16">
        <v>1</v>
      </c>
      <c r="D690" s="16">
        <v>41</v>
      </c>
      <c r="E690" s="16">
        <f>470/5</f>
        <v>94</v>
      </c>
    </row>
    <row r="691" spans="1:5" x14ac:dyDescent="0.25">
      <c r="A691" s="6" t="s">
        <v>940</v>
      </c>
      <c r="B691" s="6" t="s">
        <v>949</v>
      </c>
      <c r="C691" s="16">
        <v>1</v>
      </c>
      <c r="D691" s="16">
        <f>10+15+5+41</f>
        <v>71</v>
      </c>
      <c r="E691" s="16">
        <v>44.2</v>
      </c>
    </row>
    <row r="692" spans="1:5" x14ac:dyDescent="0.25">
      <c r="A692" s="6" t="s">
        <v>940</v>
      </c>
      <c r="B692" s="6" t="s">
        <v>950</v>
      </c>
      <c r="C692" s="16">
        <v>1</v>
      </c>
      <c r="D692" s="16">
        <f>10+60+17</f>
        <v>87</v>
      </c>
      <c r="E692" s="16">
        <v>74</v>
      </c>
    </row>
    <row r="693" spans="1:5" x14ac:dyDescent="0.25">
      <c r="A693" s="6" t="s">
        <v>940</v>
      </c>
      <c r="B693" s="6" t="s">
        <v>951</v>
      </c>
      <c r="C693" s="16">
        <v>1</v>
      </c>
      <c r="D693" s="16">
        <f>6+10+25</f>
        <v>41</v>
      </c>
      <c r="E693" s="16">
        <v>64</v>
      </c>
    </row>
    <row r="694" spans="1:5" x14ac:dyDescent="0.25">
      <c r="A694" s="6" t="s">
        <v>940</v>
      </c>
      <c r="B694" s="6" t="s">
        <v>952</v>
      </c>
      <c r="C694" s="16">
        <v>1</v>
      </c>
      <c r="D694" s="16">
        <f>9+53</f>
        <v>62</v>
      </c>
      <c r="E694" s="16">
        <f>432/9</f>
        <v>48</v>
      </c>
    </row>
    <row r="695" spans="1:5" x14ac:dyDescent="0.25">
      <c r="A695" s="6" t="s">
        <v>940</v>
      </c>
      <c r="B695" s="6" t="s">
        <v>953</v>
      </c>
      <c r="C695" s="16">
        <v>1</v>
      </c>
      <c r="D695" s="16">
        <f>12+10+23</f>
        <v>45</v>
      </c>
      <c r="E695" s="16">
        <v>62</v>
      </c>
    </row>
    <row r="696" spans="1:5" x14ac:dyDescent="0.25">
      <c r="A696" s="6" t="s">
        <v>940</v>
      </c>
      <c r="B696" s="6" t="s">
        <v>954</v>
      </c>
      <c r="C696" s="16">
        <v>1</v>
      </c>
      <c r="D696" s="16">
        <f>6+40+13</f>
        <v>59</v>
      </c>
      <c r="E696" s="16">
        <f>2560/40</f>
        <v>64</v>
      </c>
    </row>
    <row r="697" spans="1:5" x14ac:dyDescent="0.25">
      <c r="A697" s="6" t="s">
        <v>940</v>
      </c>
      <c r="B697" s="6" t="s">
        <v>955</v>
      </c>
      <c r="C697" s="16">
        <v>1</v>
      </c>
      <c r="D697" s="16">
        <f>9+10+36</f>
        <v>55</v>
      </c>
      <c r="E697" s="16">
        <v>63</v>
      </c>
    </row>
    <row r="698" spans="1:5" x14ac:dyDescent="0.25">
      <c r="A698" s="6" t="s">
        <v>940</v>
      </c>
      <c r="B698" s="6" t="s">
        <v>956</v>
      </c>
      <c r="C698" s="16">
        <v>1</v>
      </c>
      <c r="D698" s="16">
        <v>94</v>
      </c>
      <c r="E698" s="16">
        <f>544/4</f>
        <v>136</v>
      </c>
    </row>
    <row r="699" spans="1:5" x14ac:dyDescent="0.25">
      <c r="A699" s="6" t="s">
        <v>940</v>
      </c>
      <c r="B699" s="6" t="s">
        <v>957</v>
      </c>
      <c r="C699" s="16">
        <v>1</v>
      </c>
      <c r="D699" s="16">
        <v>1</v>
      </c>
      <c r="E699" s="16">
        <v>52</v>
      </c>
    </row>
    <row r="700" spans="1:5" x14ac:dyDescent="0.25">
      <c r="A700" s="6" t="s">
        <v>940</v>
      </c>
      <c r="B700" s="6" t="s">
        <v>958</v>
      </c>
      <c r="C700" s="16">
        <v>1</v>
      </c>
      <c r="D700" s="16">
        <f>6+5+9</f>
        <v>20</v>
      </c>
      <c r="E700" s="16">
        <f>210/5</f>
        <v>42</v>
      </c>
    </row>
    <row r="701" spans="1:5" x14ac:dyDescent="0.25">
      <c r="A701" s="6" t="s">
        <v>940</v>
      </c>
      <c r="B701" s="6" t="s">
        <v>959</v>
      </c>
      <c r="C701" s="16">
        <v>1</v>
      </c>
      <c r="D701" s="16">
        <f>10+15+5+11</f>
        <v>41</v>
      </c>
      <c r="E701" s="16">
        <v>45</v>
      </c>
    </row>
    <row r="702" spans="1:5" x14ac:dyDescent="0.25">
      <c r="A702" s="6" t="s">
        <v>940</v>
      </c>
      <c r="B702" s="6" t="s">
        <v>960</v>
      </c>
      <c r="C702" s="16">
        <v>1</v>
      </c>
      <c r="D702" s="16">
        <f>20+12+5+19</f>
        <v>56</v>
      </c>
      <c r="E702" s="16">
        <f>180/5</f>
        <v>36</v>
      </c>
    </row>
    <row r="703" spans="1:5" x14ac:dyDescent="0.25">
      <c r="A703" s="6" t="s">
        <v>940</v>
      </c>
      <c r="B703" s="6" t="s">
        <v>961</v>
      </c>
      <c r="C703" s="16">
        <v>1</v>
      </c>
      <c r="D703" s="16">
        <f>15+5+30</f>
        <v>50</v>
      </c>
      <c r="E703" s="16">
        <f>220/5</f>
        <v>44</v>
      </c>
    </row>
    <row r="704" spans="1:5" x14ac:dyDescent="0.25">
      <c r="A704" s="6" t="s">
        <v>940</v>
      </c>
      <c r="B704" s="6" t="s">
        <v>962</v>
      </c>
      <c r="C704" s="16">
        <v>1</v>
      </c>
      <c r="D704" s="16">
        <f>6+5+12</f>
        <v>23</v>
      </c>
      <c r="E704" s="16">
        <f>270/5</f>
        <v>54</v>
      </c>
    </row>
    <row r="705" spans="1:5" x14ac:dyDescent="0.25">
      <c r="A705" s="6" t="s">
        <v>940</v>
      </c>
      <c r="B705" s="6" t="s">
        <v>963</v>
      </c>
      <c r="C705" s="16">
        <v>1</v>
      </c>
      <c r="D705" s="16">
        <f>10+21+45+31</f>
        <v>107</v>
      </c>
      <c r="E705" s="16">
        <v>50</v>
      </c>
    </row>
    <row r="706" spans="1:5" x14ac:dyDescent="0.25">
      <c r="A706" s="6" t="s">
        <v>940</v>
      </c>
      <c r="B706" s="6" t="s">
        <v>964</v>
      </c>
      <c r="C706" s="16">
        <v>10</v>
      </c>
      <c r="D706" s="16">
        <v>10</v>
      </c>
      <c r="E706" s="16">
        <v>197.95</v>
      </c>
    </row>
    <row r="707" spans="1:5" x14ac:dyDescent="0.25">
      <c r="A707" s="6" t="s">
        <v>940</v>
      </c>
      <c r="B707" s="6" t="s">
        <v>965</v>
      </c>
      <c r="C707" s="16">
        <v>1</v>
      </c>
      <c r="D707" s="16">
        <f>10+12+25+52</f>
        <v>99</v>
      </c>
      <c r="E707" s="16">
        <v>38</v>
      </c>
    </row>
    <row r="708" spans="1:5" x14ac:dyDescent="0.25">
      <c r="A708" s="6" t="s">
        <v>940</v>
      </c>
      <c r="B708" s="6" t="s">
        <v>966</v>
      </c>
      <c r="C708" s="16">
        <v>1</v>
      </c>
      <c r="D708" s="16">
        <f>12+20+8</f>
        <v>40</v>
      </c>
      <c r="E708" s="16">
        <f>960/20</f>
        <v>48</v>
      </c>
    </row>
    <row r="709" spans="1:5" x14ac:dyDescent="0.25">
      <c r="A709" s="6" t="s">
        <v>940</v>
      </c>
      <c r="B709" s="6" t="s">
        <v>967</v>
      </c>
      <c r="C709" s="16">
        <v>1</v>
      </c>
      <c r="D709" s="16">
        <f>30+9+13</f>
        <v>52</v>
      </c>
      <c r="E709" s="16">
        <v>110</v>
      </c>
    </row>
    <row r="710" spans="1:5" x14ac:dyDescent="0.25">
      <c r="A710" s="6" t="s">
        <v>968</v>
      </c>
      <c r="B710" s="6" t="s">
        <v>970</v>
      </c>
      <c r="C710" s="16">
        <v>1</v>
      </c>
      <c r="D710" s="16">
        <v>67</v>
      </c>
      <c r="E710" s="16">
        <v>35</v>
      </c>
    </row>
    <row r="711" spans="1:5" x14ac:dyDescent="0.25">
      <c r="A711" s="6" t="s">
        <v>968</v>
      </c>
      <c r="B711" s="6" t="s">
        <v>971</v>
      </c>
      <c r="C711" s="16">
        <v>1</v>
      </c>
      <c r="D711" s="16">
        <f>39+10+35</f>
        <v>84</v>
      </c>
      <c r="E711" s="16">
        <v>45</v>
      </c>
    </row>
    <row r="712" spans="1:5" x14ac:dyDescent="0.25">
      <c r="A712" s="6" t="s">
        <v>968</v>
      </c>
      <c r="B712" s="6" t="s">
        <v>972</v>
      </c>
      <c r="C712" s="16">
        <v>1</v>
      </c>
      <c r="D712" s="16">
        <v>130</v>
      </c>
      <c r="E712" s="16">
        <f>132/3</f>
        <v>44</v>
      </c>
    </row>
    <row r="713" spans="1:5" x14ac:dyDescent="0.25">
      <c r="A713" s="6" t="s">
        <v>968</v>
      </c>
      <c r="B713" s="6" t="s">
        <v>973</v>
      </c>
      <c r="C713" s="16">
        <v>1</v>
      </c>
      <c r="D713" s="16">
        <f>15+15+71</f>
        <v>101</v>
      </c>
      <c r="E713" s="16">
        <f>525/15</f>
        <v>35</v>
      </c>
    </row>
    <row r="714" spans="1:5" x14ac:dyDescent="0.25">
      <c r="A714" s="6" t="s">
        <v>968</v>
      </c>
      <c r="B714" s="6" t="s">
        <v>974</v>
      </c>
      <c r="C714" s="16">
        <v>1</v>
      </c>
      <c r="D714" s="16">
        <f>10+27+25+87</f>
        <v>149</v>
      </c>
      <c r="E714" s="16">
        <v>40</v>
      </c>
    </row>
    <row r="715" spans="1:5" x14ac:dyDescent="0.25">
      <c r="A715" s="6" t="s">
        <v>969</v>
      </c>
      <c r="B715" s="6" t="s">
        <v>975</v>
      </c>
      <c r="C715" s="16">
        <v>1</v>
      </c>
      <c r="D715" s="16">
        <v>6</v>
      </c>
      <c r="E715" s="16">
        <f>250.8/6</f>
        <v>41.800000000000004</v>
      </c>
    </row>
    <row r="716" spans="1:5" x14ac:dyDescent="0.25">
      <c r="A716" s="6" t="s">
        <v>969</v>
      </c>
      <c r="B716" s="6" t="s">
        <v>976</v>
      </c>
      <c r="C716" s="16">
        <v>1</v>
      </c>
      <c r="D716" s="16">
        <v>15</v>
      </c>
      <c r="E716" s="16">
        <f>228/6</f>
        <v>38</v>
      </c>
    </row>
    <row r="717" spans="1:5" x14ac:dyDescent="0.25">
      <c r="A717" s="6" t="s">
        <v>969</v>
      </c>
      <c r="B717" s="6" t="s">
        <v>398</v>
      </c>
      <c r="C717" s="16">
        <v>1</v>
      </c>
      <c r="D717" s="16">
        <v>11</v>
      </c>
      <c r="E717" s="16">
        <v>40</v>
      </c>
    </row>
    <row r="718" spans="1:5" x14ac:dyDescent="0.25">
      <c r="A718" s="6" t="s">
        <v>969</v>
      </c>
      <c r="B718" s="6" t="s">
        <v>399</v>
      </c>
      <c r="C718" s="16">
        <v>1</v>
      </c>
      <c r="D718" s="16">
        <v>6</v>
      </c>
      <c r="E718" s="16">
        <v>50</v>
      </c>
    </row>
    <row r="719" spans="1:5" x14ac:dyDescent="0.25">
      <c r="A719" s="6" t="s">
        <v>969</v>
      </c>
      <c r="B719" s="6" t="s">
        <v>977</v>
      </c>
      <c r="C719" s="16">
        <v>1</v>
      </c>
      <c r="D719" s="16">
        <f>13+11</f>
        <v>24</v>
      </c>
      <c r="E719" s="16">
        <v>40</v>
      </c>
    </row>
    <row r="720" spans="1:5" x14ac:dyDescent="0.25">
      <c r="A720" s="6" t="s">
        <v>969</v>
      </c>
      <c r="B720" s="6" t="s">
        <v>978</v>
      </c>
      <c r="C720" s="16">
        <v>1</v>
      </c>
      <c r="D720" s="16">
        <f>12+13</f>
        <v>25</v>
      </c>
      <c r="E720" s="16">
        <f>456/12</f>
        <v>38</v>
      </c>
    </row>
    <row r="721" spans="1:5" x14ac:dyDescent="0.25">
      <c r="A721" s="6" t="s">
        <v>969</v>
      </c>
      <c r="B721" s="6" t="s">
        <v>447</v>
      </c>
      <c r="C721" s="16">
        <v>1</v>
      </c>
      <c r="D721" s="16">
        <v>1</v>
      </c>
      <c r="E721" s="16">
        <v>50</v>
      </c>
    </row>
    <row r="722" spans="1:5" x14ac:dyDescent="0.25">
      <c r="A722" s="6" t="s">
        <v>969</v>
      </c>
      <c r="B722" s="6" t="s">
        <v>979</v>
      </c>
      <c r="C722" s="16">
        <v>1</v>
      </c>
      <c r="D722" s="16">
        <v>7</v>
      </c>
      <c r="E722" s="16">
        <v>60</v>
      </c>
    </row>
    <row r="723" spans="1:5" x14ac:dyDescent="0.25">
      <c r="A723" s="6" t="s">
        <v>969</v>
      </c>
      <c r="B723" s="6" t="s">
        <v>980</v>
      </c>
      <c r="C723" s="16">
        <v>1</v>
      </c>
      <c r="D723" s="16">
        <v>4</v>
      </c>
      <c r="E723" s="16">
        <v>60</v>
      </c>
    </row>
    <row r="724" spans="1:5" x14ac:dyDescent="0.25">
      <c r="A724" s="6" t="s">
        <v>981</v>
      </c>
      <c r="B724" s="6" t="s">
        <v>982</v>
      </c>
      <c r="C724" s="16">
        <v>1</v>
      </c>
      <c r="D724" s="16">
        <v>12</v>
      </c>
      <c r="E724" s="16">
        <f>240/6</f>
        <v>40</v>
      </c>
    </row>
    <row r="725" spans="1:5" x14ac:dyDescent="0.25">
      <c r="A725" s="6" t="s">
        <v>981</v>
      </c>
      <c r="B725" s="6" t="s">
        <v>983</v>
      </c>
      <c r="C725" s="16">
        <v>1</v>
      </c>
      <c r="D725" s="16">
        <v>94</v>
      </c>
      <c r="E725" s="16">
        <v>62</v>
      </c>
    </row>
    <row r="726" spans="1:5" x14ac:dyDescent="0.25">
      <c r="A726" s="6" t="s">
        <v>981</v>
      </c>
      <c r="B726" s="6" t="s">
        <v>984</v>
      </c>
      <c r="C726" s="16">
        <v>1</v>
      </c>
      <c r="D726" s="16">
        <v>18</v>
      </c>
      <c r="E726" s="16">
        <f>280/5</f>
        <v>56</v>
      </c>
    </row>
    <row r="727" spans="1:5" x14ac:dyDescent="0.25">
      <c r="A727" s="6" t="s">
        <v>981</v>
      </c>
      <c r="B727" s="6" t="s">
        <v>985</v>
      </c>
      <c r="C727" s="16">
        <v>1</v>
      </c>
      <c r="D727" s="16">
        <v>139</v>
      </c>
      <c r="E727" s="16">
        <f>1056/24</f>
        <v>44</v>
      </c>
    </row>
    <row r="728" spans="1:5" x14ac:dyDescent="0.25">
      <c r="A728" s="6" t="s">
        <v>981</v>
      </c>
      <c r="B728" s="6" t="s">
        <v>986</v>
      </c>
      <c r="C728" s="16">
        <v>1</v>
      </c>
      <c r="D728" s="16">
        <f>3+15+9</f>
        <v>27</v>
      </c>
      <c r="E728" s="16">
        <v>59</v>
      </c>
    </row>
    <row r="729" spans="1:5" x14ac:dyDescent="0.25">
      <c r="A729" s="6" t="s">
        <v>988</v>
      </c>
      <c r="B729" s="6" t="s">
        <v>989</v>
      </c>
      <c r="C729" s="16">
        <v>1</v>
      </c>
      <c r="D729" s="16">
        <v>27</v>
      </c>
      <c r="E729" s="16">
        <f>138/3</f>
        <v>46</v>
      </c>
    </row>
    <row r="730" spans="1:5" x14ac:dyDescent="0.25">
      <c r="A730" s="6" t="s">
        <v>988</v>
      </c>
      <c r="B730" s="6" t="s">
        <v>990</v>
      </c>
      <c r="C730" s="16">
        <v>1</v>
      </c>
      <c r="D730" s="16">
        <v>9</v>
      </c>
      <c r="E730" s="16">
        <f>275/5</f>
        <v>55</v>
      </c>
    </row>
    <row r="731" spans="1:5" x14ac:dyDescent="0.25">
      <c r="A731" s="6" t="s">
        <v>988</v>
      </c>
      <c r="B731" s="6" t="s">
        <v>991</v>
      </c>
      <c r="C731" s="16">
        <v>1</v>
      </c>
      <c r="D731" s="16">
        <v>21</v>
      </c>
      <c r="E731" s="16">
        <f>1470/21</f>
        <v>70</v>
      </c>
    </row>
    <row r="732" spans="1:5" x14ac:dyDescent="0.25">
      <c r="A732" s="6" t="s">
        <v>988</v>
      </c>
      <c r="B732" s="6" t="s">
        <v>992</v>
      </c>
      <c r="C732" s="16">
        <v>1</v>
      </c>
      <c r="D732" s="16">
        <f>24+5+36</f>
        <v>65</v>
      </c>
      <c r="E732" s="16">
        <f>130/5</f>
        <v>26</v>
      </c>
    </row>
    <row r="733" spans="1:5" x14ac:dyDescent="0.25">
      <c r="A733" s="6" t="s">
        <v>988</v>
      </c>
      <c r="B733" s="6" t="s">
        <v>993</v>
      </c>
      <c r="C733" s="16">
        <v>1</v>
      </c>
      <c r="D733" s="16">
        <f>28+31</f>
        <v>59</v>
      </c>
      <c r="E733" s="16">
        <v>40</v>
      </c>
    </row>
    <row r="734" spans="1:5" x14ac:dyDescent="0.25">
      <c r="A734" s="6" t="s">
        <v>988</v>
      </c>
      <c r="B734" s="6" t="s">
        <v>994</v>
      </c>
      <c r="C734" s="16">
        <v>1</v>
      </c>
      <c r="D734" s="16">
        <v>15</v>
      </c>
      <c r="E734" s="16">
        <v>56</v>
      </c>
    </row>
    <row r="735" spans="1:5" x14ac:dyDescent="0.25">
      <c r="A735" s="6" t="s">
        <v>988</v>
      </c>
      <c r="B735" s="6" t="s">
        <v>995</v>
      </c>
      <c r="C735" s="16">
        <v>1</v>
      </c>
      <c r="D735" s="16">
        <v>16</v>
      </c>
      <c r="E735" s="16">
        <v>58</v>
      </c>
    </row>
    <row r="736" spans="1:5" x14ac:dyDescent="0.25">
      <c r="A736" s="6" t="s">
        <v>988</v>
      </c>
      <c r="B736" s="6" t="s">
        <v>996</v>
      </c>
      <c r="C736" s="16">
        <v>1</v>
      </c>
      <c r="D736" s="16">
        <v>81</v>
      </c>
      <c r="E736" s="16">
        <v>26.5</v>
      </c>
    </row>
    <row r="737" spans="1:5" x14ac:dyDescent="0.25">
      <c r="A737" s="6" t="s">
        <v>988</v>
      </c>
      <c r="B737" s="6" t="s">
        <v>997</v>
      </c>
      <c r="C737" s="16">
        <v>1</v>
      </c>
      <c r="D737" s="16">
        <f>20+24+15+18</f>
        <v>77</v>
      </c>
      <c r="E737" s="16">
        <f>720/15</f>
        <v>48</v>
      </c>
    </row>
    <row r="738" spans="1:5" x14ac:dyDescent="0.25">
      <c r="A738" s="6" t="s">
        <v>988</v>
      </c>
      <c r="B738" s="6" t="s">
        <v>998</v>
      </c>
      <c r="C738" s="16">
        <v>1</v>
      </c>
      <c r="D738" s="16">
        <v>36</v>
      </c>
      <c r="E738" s="16">
        <v>44</v>
      </c>
    </row>
    <row r="739" spans="1:5" x14ac:dyDescent="0.25">
      <c r="A739" s="6" t="s">
        <v>988</v>
      </c>
      <c r="B739" s="6" t="s">
        <v>999</v>
      </c>
      <c r="C739" s="16">
        <v>1</v>
      </c>
      <c r="D739" s="16">
        <f>12+5+6</f>
        <v>23</v>
      </c>
      <c r="E739" s="16">
        <v>50</v>
      </c>
    </row>
    <row r="740" spans="1:5" x14ac:dyDescent="0.25">
      <c r="A740" s="6" t="s">
        <v>988</v>
      </c>
      <c r="B740" s="6" t="s">
        <v>1000</v>
      </c>
      <c r="C740" s="16">
        <v>1</v>
      </c>
      <c r="D740" s="16">
        <v>22</v>
      </c>
      <c r="E740" s="16">
        <f>1606/22</f>
        <v>73</v>
      </c>
    </row>
    <row r="741" spans="1:5" x14ac:dyDescent="0.25">
      <c r="A741" s="6" t="s">
        <v>988</v>
      </c>
      <c r="B741" s="6" t="s">
        <v>1001</v>
      </c>
      <c r="C741" s="16">
        <v>1</v>
      </c>
      <c r="D741" s="16">
        <v>8</v>
      </c>
      <c r="E741" s="16">
        <f>416/8</f>
        <v>52</v>
      </c>
    </row>
    <row r="742" spans="1:5" x14ac:dyDescent="0.25">
      <c r="A742" s="6" t="s">
        <v>988</v>
      </c>
      <c r="B742" s="6" t="s">
        <v>1002</v>
      </c>
      <c r="C742" s="16">
        <v>1</v>
      </c>
      <c r="D742" s="16">
        <v>17</v>
      </c>
      <c r="E742" s="16">
        <v>52</v>
      </c>
    </row>
    <row r="743" spans="1:5" x14ac:dyDescent="0.25">
      <c r="A743" s="6" t="s">
        <v>988</v>
      </c>
      <c r="B743" s="6" t="s">
        <v>1003</v>
      </c>
      <c r="C743" s="16">
        <v>1</v>
      </c>
      <c r="D743" s="16">
        <v>68</v>
      </c>
      <c r="E743" s="16">
        <v>36</v>
      </c>
    </row>
    <row r="744" spans="1:5" x14ac:dyDescent="0.25">
      <c r="A744" s="6" t="s">
        <v>988</v>
      </c>
      <c r="B744" s="6" t="s">
        <v>1004</v>
      </c>
      <c r="C744" s="16">
        <v>1</v>
      </c>
      <c r="D744" s="16">
        <f>10+18+5+15</f>
        <v>48</v>
      </c>
      <c r="E744" s="16">
        <v>38</v>
      </c>
    </row>
    <row r="745" spans="1:5" x14ac:dyDescent="0.25">
      <c r="A745" s="6" t="s">
        <v>988</v>
      </c>
      <c r="B745" s="6" t="s">
        <v>1005</v>
      </c>
      <c r="C745" s="16">
        <v>1</v>
      </c>
      <c r="D745" s="16">
        <f>10+3+5+63</f>
        <v>81</v>
      </c>
      <c r="E745" s="16">
        <v>26</v>
      </c>
    </row>
    <row r="746" spans="1:5" x14ac:dyDescent="0.25">
      <c r="A746" s="6" t="s">
        <v>988</v>
      </c>
      <c r="B746" s="6" t="s">
        <v>1006</v>
      </c>
      <c r="C746" s="16">
        <v>1</v>
      </c>
      <c r="D746" s="16">
        <v>14</v>
      </c>
      <c r="E746" s="16">
        <v>56</v>
      </c>
    </row>
    <row r="747" spans="1:5" x14ac:dyDescent="0.25">
      <c r="A747" s="6" t="s">
        <v>1007</v>
      </c>
      <c r="B747" s="6" t="s">
        <v>1009</v>
      </c>
      <c r="C747" s="16">
        <v>1</v>
      </c>
      <c r="D747" s="16">
        <v>24</v>
      </c>
      <c r="E747" s="16">
        <v>50</v>
      </c>
    </row>
    <row r="748" spans="1:5" x14ac:dyDescent="0.25">
      <c r="A748" s="6" t="s">
        <v>1007</v>
      </c>
      <c r="B748" s="6" t="s">
        <v>1010</v>
      </c>
      <c r="C748" s="16">
        <v>1</v>
      </c>
      <c r="D748" s="16">
        <v>25</v>
      </c>
      <c r="E748" s="16">
        <v>55</v>
      </c>
    </row>
    <row r="749" spans="1:5" x14ac:dyDescent="0.25">
      <c r="A749" s="6" t="s">
        <v>1007</v>
      </c>
      <c r="B749" s="6" t="s">
        <v>1011</v>
      </c>
      <c r="C749" s="16">
        <v>1</v>
      </c>
      <c r="D749" s="16">
        <v>73</v>
      </c>
      <c r="E749" s="16">
        <v>68</v>
      </c>
    </row>
    <row r="750" spans="1:5" x14ac:dyDescent="0.25">
      <c r="A750" s="6" t="s">
        <v>1008</v>
      </c>
      <c r="B750" s="6" t="s">
        <v>1012</v>
      </c>
      <c r="C750" s="16">
        <v>1</v>
      </c>
      <c r="D750" s="16">
        <v>1</v>
      </c>
      <c r="E750" s="16">
        <v>48</v>
      </c>
    </row>
    <row r="751" spans="1:5" x14ac:dyDescent="0.25">
      <c r="A751" s="6" t="s">
        <v>1008</v>
      </c>
      <c r="B751" s="6" t="s">
        <v>1013</v>
      </c>
      <c r="C751" s="16">
        <v>1</v>
      </c>
      <c r="D751" s="16">
        <f>10+9+23</f>
        <v>42</v>
      </c>
      <c r="E751" s="16">
        <v>46</v>
      </c>
    </row>
    <row r="752" spans="1:5" x14ac:dyDescent="0.25">
      <c r="A752" s="6" t="s">
        <v>1008</v>
      </c>
      <c r="B752" s="6" t="s">
        <v>1014</v>
      </c>
      <c r="C752" s="16">
        <v>1</v>
      </c>
      <c r="D752" s="16">
        <v>8</v>
      </c>
      <c r="E752" s="16">
        <f>186/3</f>
        <v>62</v>
      </c>
    </row>
    <row r="753" spans="1:5" x14ac:dyDescent="0.25">
      <c r="A753" s="6" t="s">
        <v>1008</v>
      </c>
      <c r="B753" s="6" t="s">
        <v>1015</v>
      </c>
      <c r="C753" s="16">
        <v>1</v>
      </c>
      <c r="D753" s="16">
        <f>3+10+10+7</f>
        <v>30</v>
      </c>
      <c r="E753" s="16">
        <v>65</v>
      </c>
    </row>
    <row r="754" spans="1:5" x14ac:dyDescent="0.25">
      <c r="A754" s="6" t="s">
        <v>1008</v>
      </c>
      <c r="B754" s="6" t="s">
        <v>1016</v>
      </c>
      <c r="C754" s="16">
        <v>1</v>
      </c>
      <c r="D754" s="16">
        <v>17</v>
      </c>
      <c r="E754" s="16">
        <f>192/3</f>
        <v>64</v>
      </c>
    </row>
    <row r="755" spans="1:5" x14ac:dyDescent="0.25">
      <c r="A755" s="6" t="s">
        <v>1008</v>
      </c>
      <c r="B755" s="6" t="s">
        <v>1017</v>
      </c>
      <c r="C755" s="16">
        <v>1</v>
      </c>
      <c r="D755" s="16">
        <v>11</v>
      </c>
      <c r="E755" s="16">
        <f>330/11</f>
        <v>30</v>
      </c>
    </row>
    <row r="756" spans="1:5" x14ac:dyDescent="0.25">
      <c r="A756" s="6" t="s">
        <v>1008</v>
      </c>
      <c r="B756" s="6" t="s">
        <v>1018</v>
      </c>
      <c r="C756" s="16">
        <v>1</v>
      </c>
      <c r="D756" s="16">
        <v>9</v>
      </c>
      <c r="E756" s="16">
        <f>165/3</f>
        <v>55</v>
      </c>
    </row>
    <row r="757" spans="1:5" x14ac:dyDescent="0.25">
      <c r="A757" s="6" t="s">
        <v>1008</v>
      </c>
      <c r="B757" s="6" t="s">
        <v>1019</v>
      </c>
      <c r="C757" s="16">
        <v>1</v>
      </c>
      <c r="D757" s="16">
        <f>6+10+28</f>
        <v>44</v>
      </c>
      <c r="E757" s="16">
        <f>270/6</f>
        <v>45</v>
      </c>
    </row>
    <row r="758" spans="1:5" x14ac:dyDescent="0.25">
      <c r="A758" s="6" t="s">
        <v>1008</v>
      </c>
      <c r="B758" s="6" t="s">
        <v>1020</v>
      </c>
      <c r="C758" s="16">
        <v>1</v>
      </c>
      <c r="D758" s="16">
        <f>9+5+12</f>
        <v>26</v>
      </c>
      <c r="E758" s="16">
        <v>45</v>
      </c>
    </row>
    <row r="759" spans="1:5" x14ac:dyDescent="0.25">
      <c r="A759" s="6" t="s">
        <v>1008</v>
      </c>
      <c r="B759" s="6" t="s">
        <v>1021</v>
      </c>
      <c r="C759" s="16">
        <v>1</v>
      </c>
      <c r="D759" s="16">
        <f>12+5+6</f>
        <v>23</v>
      </c>
      <c r="E759" s="16">
        <f>225/5</f>
        <v>45</v>
      </c>
    </row>
    <row r="760" spans="1:5" x14ac:dyDescent="0.25">
      <c r="A760" s="6" t="s">
        <v>1008</v>
      </c>
      <c r="B760" s="6" t="s">
        <v>1022</v>
      </c>
      <c r="C760" s="16">
        <v>1</v>
      </c>
      <c r="D760" s="16">
        <v>44</v>
      </c>
      <c r="E760" s="16">
        <f>750/15</f>
        <v>50</v>
      </c>
    </row>
    <row r="761" spans="1:5" x14ac:dyDescent="0.25">
      <c r="A761" s="6" t="s">
        <v>1008</v>
      </c>
      <c r="B761" s="6" t="s">
        <v>1023</v>
      </c>
      <c r="C761" s="16">
        <v>1</v>
      </c>
      <c r="D761" s="16">
        <v>23</v>
      </c>
      <c r="E761" s="16">
        <v>50</v>
      </c>
    </row>
    <row r="762" spans="1:5" x14ac:dyDescent="0.25">
      <c r="A762" s="6" t="s">
        <v>1008</v>
      </c>
      <c r="B762" s="6" t="s">
        <v>1024</v>
      </c>
      <c r="C762" s="16">
        <v>1</v>
      </c>
      <c r="D762" s="16">
        <f>12+23</f>
        <v>35</v>
      </c>
      <c r="E762" s="16">
        <v>62</v>
      </c>
    </row>
    <row r="763" spans="1:5" x14ac:dyDescent="0.25">
      <c r="A763" s="6" t="s">
        <v>1008</v>
      </c>
      <c r="B763" s="6" t="s">
        <v>1025</v>
      </c>
      <c r="C763" s="16">
        <v>1</v>
      </c>
      <c r="D763" s="16">
        <v>83</v>
      </c>
      <c r="E763" s="16">
        <v>76</v>
      </c>
    </row>
    <row r="764" spans="1:5" x14ac:dyDescent="0.25">
      <c r="A764" s="6" t="s">
        <v>1008</v>
      </c>
      <c r="B764" s="6" t="s">
        <v>1026</v>
      </c>
      <c r="C764" s="16">
        <v>1</v>
      </c>
      <c r="D764" s="16">
        <f>105+110</f>
        <v>215</v>
      </c>
      <c r="E764" s="16">
        <v>24.5</v>
      </c>
    </row>
    <row r="765" spans="1:5" x14ac:dyDescent="0.25">
      <c r="A765" s="6" t="s">
        <v>1008</v>
      </c>
      <c r="B765" s="6" t="s">
        <v>1027</v>
      </c>
      <c r="C765" s="16">
        <v>1</v>
      </c>
      <c r="D765" s="16">
        <v>14</v>
      </c>
      <c r="E765" s="16">
        <f>144/3</f>
        <v>48</v>
      </c>
    </row>
    <row r="766" spans="1:5" x14ac:dyDescent="0.25">
      <c r="A766" s="6" t="s">
        <v>1008</v>
      </c>
      <c r="B766" s="6" t="s">
        <v>1028</v>
      </c>
      <c r="C766" s="16">
        <v>1</v>
      </c>
      <c r="D766" s="16">
        <f>15+25+31</f>
        <v>71</v>
      </c>
      <c r="E766" s="16">
        <v>50</v>
      </c>
    </row>
    <row r="767" spans="1:5" x14ac:dyDescent="0.25">
      <c r="A767" s="6" t="s">
        <v>1008</v>
      </c>
      <c r="B767" s="6" t="s">
        <v>1029</v>
      </c>
      <c r="C767" s="16">
        <v>1</v>
      </c>
      <c r="D767" s="16">
        <f>10+6+21</f>
        <v>37</v>
      </c>
      <c r="E767" s="16">
        <v>59</v>
      </c>
    </row>
    <row r="768" spans="1:5" x14ac:dyDescent="0.25">
      <c r="A768" s="6" t="s">
        <v>1008</v>
      </c>
      <c r="B768" s="6" t="s">
        <v>1030</v>
      </c>
      <c r="C768" s="16">
        <v>1</v>
      </c>
      <c r="D768" s="16">
        <v>78</v>
      </c>
      <c r="E768" s="16">
        <f>340/5</f>
        <v>68</v>
      </c>
    </row>
    <row r="769" spans="1:5" x14ac:dyDescent="0.25">
      <c r="A769" s="6" t="s">
        <v>1008</v>
      </c>
      <c r="B769" s="6" t="s">
        <v>1031</v>
      </c>
      <c r="C769" s="16">
        <v>1</v>
      </c>
      <c r="D769" s="16">
        <v>29</v>
      </c>
      <c r="E769" s="16">
        <f>360/6</f>
        <v>60</v>
      </c>
    </row>
    <row r="770" spans="1:5" x14ac:dyDescent="0.25">
      <c r="A770" s="6" t="s">
        <v>1008</v>
      </c>
      <c r="B770" s="6" t="s">
        <v>1032</v>
      </c>
      <c r="C770" s="16">
        <v>1</v>
      </c>
      <c r="D770" s="16">
        <v>109</v>
      </c>
      <c r="E770" s="16">
        <v>72</v>
      </c>
    </row>
    <row r="771" spans="1:5" x14ac:dyDescent="0.25">
      <c r="A771" s="6" t="s">
        <v>1008</v>
      </c>
      <c r="B771" s="6" t="s">
        <v>1033</v>
      </c>
      <c r="C771" s="16">
        <v>1</v>
      </c>
      <c r="D771" s="16">
        <f>3+10+37</f>
        <v>50</v>
      </c>
      <c r="E771" s="16">
        <f>138/3</f>
        <v>46</v>
      </c>
    </row>
    <row r="772" spans="1:5" x14ac:dyDescent="0.25">
      <c r="A772" s="6" t="s">
        <v>1008</v>
      </c>
      <c r="B772" s="6" t="s">
        <v>1034</v>
      </c>
      <c r="C772" s="16">
        <v>1</v>
      </c>
      <c r="D772" s="16">
        <f>10+9+3</f>
        <v>22</v>
      </c>
      <c r="E772" s="16">
        <v>40</v>
      </c>
    </row>
    <row r="773" spans="1:5" x14ac:dyDescent="0.25">
      <c r="A773" s="6" t="s">
        <v>1008</v>
      </c>
      <c r="B773" s="6" t="s">
        <v>1035</v>
      </c>
      <c r="C773" s="16">
        <v>1</v>
      </c>
      <c r="D773" s="16">
        <v>22</v>
      </c>
      <c r="E773" s="16">
        <v>40</v>
      </c>
    </row>
    <row r="774" spans="1:5" x14ac:dyDescent="0.25">
      <c r="A774" s="6" t="s">
        <v>1008</v>
      </c>
      <c r="B774" s="6" t="s">
        <v>1036</v>
      </c>
      <c r="C774" s="16">
        <v>1</v>
      </c>
      <c r="D774" s="16">
        <v>6</v>
      </c>
      <c r="E774" s="16">
        <v>74</v>
      </c>
    </row>
    <row r="775" spans="1:5" x14ac:dyDescent="0.25">
      <c r="A775" s="6" t="s">
        <v>1008</v>
      </c>
      <c r="B775" s="6" t="s">
        <v>1037</v>
      </c>
      <c r="C775" s="16">
        <v>1</v>
      </c>
      <c r="D775" s="16">
        <v>6</v>
      </c>
      <c r="E775" s="16">
        <v>66</v>
      </c>
    </row>
    <row r="776" spans="1:5" x14ac:dyDescent="0.25">
      <c r="A776" s="6" t="s">
        <v>1008</v>
      </c>
      <c r="B776" s="6" t="s">
        <v>1038</v>
      </c>
      <c r="C776" s="16">
        <v>1</v>
      </c>
      <c r="D776" s="16">
        <f>10+9+5+16</f>
        <v>40</v>
      </c>
      <c r="E776" s="16">
        <v>66</v>
      </c>
    </row>
    <row r="777" spans="1:5" x14ac:dyDescent="0.25">
      <c r="A777" s="6" t="s">
        <v>1008</v>
      </c>
      <c r="B777" s="6" t="s">
        <v>1039</v>
      </c>
      <c r="C777" s="16">
        <v>1</v>
      </c>
      <c r="D777" s="16">
        <f>70+48</f>
        <v>118</v>
      </c>
      <c r="E777" s="16">
        <v>24.5</v>
      </c>
    </row>
    <row r="778" spans="1:5" x14ac:dyDescent="0.25">
      <c r="A778" s="6" t="s">
        <v>1008</v>
      </c>
      <c r="B778" s="6" t="s">
        <v>1040</v>
      </c>
      <c r="C778" s="16">
        <v>1</v>
      </c>
      <c r="D778" s="16">
        <f>9+14</f>
        <v>23</v>
      </c>
      <c r="E778" s="16">
        <f>672/14</f>
        <v>48</v>
      </c>
    </row>
    <row r="779" spans="1:5" x14ac:dyDescent="0.25">
      <c r="A779" s="6" t="s">
        <v>1008</v>
      </c>
      <c r="B779" s="6" t="s">
        <v>1041</v>
      </c>
      <c r="C779" s="16">
        <v>1</v>
      </c>
      <c r="D779" s="16">
        <v>9</v>
      </c>
      <c r="E779" s="16">
        <f>144/3</f>
        <v>48</v>
      </c>
    </row>
    <row r="780" spans="1:5" x14ac:dyDescent="0.25">
      <c r="A780" s="6" t="s">
        <v>1008</v>
      </c>
      <c r="B780" s="6" t="s">
        <v>1042</v>
      </c>
      <c r="C780" s="16">
        <v>1</v>
      </c>
      <c r="D780" s="16">
        <f>70+31</f>
        <v>101</v>
      </c>
      <c r="E780" s="16">
        <v>24.5</v>
      </c>
    </row>
    <row r="781" spans="1:5" x14ac:dyDescent="0.25">
      <c r="A781" s="6" t="s">
        <v>1008</v>
      </c>
      <c r="B781" s="6" t="s">
        <v>1043</v>
      </c>
      <c r="C781" s="16">
        <v>1</v>
      </c>
      <c r="D781" s="16">
        <f>95+57</f>
        <v>152</v>
      </c>
      <c r="E781" s="16">
        <v>24.5</v>
      </c>
    </row>
    <row r="782" spans="1:5" x14ac:dyDescent="0.25">
      <c r="A782" s="6" t="s">
        <v>1008</v>
      </c>
      <c r="B782" s="6" t="s">
        <v>1044</v>
      </c>
      <c r="C782" s="16">
        <v>1</v>
      </c>
      <c r="D782" s="16">
        <v>17</v>
      </c>
      <c r="E782" s="16">
        <v>52</v>
      </c>
    </row>
    <row r="783" spans="1:5" x14ac:dyDescent="0.25">
      <c r="A783" s="6" t="s">
        <v>1008</v>
      </c>
      <c r="B783" s="6" t="s">
        <v>1045</v>
      </c>
      <c r="C783" s="16">
        <v>1</v>
      </c>
      <c r="D783" s="16">
        <v>23</v>
      </c>
      <c r="E783" s="16">
        <f>300/6</f>
        <v>50</v>
      </c>
    </row>
    <row r="784" spans="1:5" x14ac:dyDescent="0.25">
      <c r="A784" s="6" t="s">
        <v>1046</v>
      </c>
      <c r="B784" s="6" t="s">
        <v>1047</v>
      </c>
      <c r="C784" s="16">
        <v>1</v>
      </c>
      <c r="D784" s="16">
        <v>6</v>
      </c>
      <c r="E784" s="16">
        <f>528/6</f>
        <v>88</v>
      </c>
    </row>
    <row r="785" spans="1:5" x14ac:dyDescent="0.25">
      <c r="A785" s="6" t="s">
        <v>1046</v>
      </c>
      <c r="B785" s="6" t="s">
        <v>1048</v>
      </c>
      <c r="C785" s="16">
        <v>1</v>
      </c>
      <c r="D785" s="16">
        <v>12</v>
      </c>
      <c r="E785" s="16">
        <f>177/3</f>
        <v>59</v>
      </c>
    </row>
    <row r="786" spans="1:5" x14ac:dyDescent="0.25">
      <c r="A786" s="6" t="s">
        <v>1046</v>
      </c>
      <c r="B786" s="6" t="s">
        <v>1049</v>
      </c>
      <c r="C786" s="16">
        <v>1</v>
      </c>
      <c r="D786" s="16">
        <v>15</v>
      </c>
      <c r="E786" s="16">
        <f>222/3</f>
        <v>74</v>
      </c>
    </row>
    <row r="787" spans="1:5" x14ac:dyDescent="0.25">
      <c r="A787" s="6" t="s">
        <v>1046</v>
      </c>
      <c r="B787" s="6" t="s">
        <v>1050</v>
      </c>
      <c r="C787" s="16">
        <v>1</v>
      </c>
      <c r="D787" s="16">
        <v>7</v>
      </c>
      <c r="E787" s="16">
        <v>40</v>
      </c>
    </row>
    <row r="788" spans="1:5" x14ac:dyDescent="0.25">
      <c r="A788" s="6" t="s">
        <v>1046</v>
      </c>
      <c r="B788" s="6" t="s">
        <v>1051</v>
      </c>
      <c r="C788" s="16">
        <v>1</v>
      </c>
      <c r="D788" s="16">
        <v>27</v>
      </c>
      <c r="E788" s="16">
        <f>360/12</f>
        <v>30</v>
      </c>
    </row>
    <row r="789" spans="1:5" x14ac:dyDescent="0.25">
      <c r="A789" s="6" t="s">
        <v>1046</v>
      </c>
      <c r="B789" s="6" t="s">
        <v>1052</v>
      </c>
      <c r="C789" s="16">
        <v>1</v>
      </c>
      <c r="D789" s="16">
        <v>9</v>
      </c>
      <c r="E789" s="16">
        <v>60</v>
      </c>
    </row>
    <row r="790" spans="1:5" x14ac:dyDescent="0.25">
      <c r="A790" s="6" t="s">
        <v>1046</v>
      </c>
      <c r="B790" s="6" t="s">
        <v>1053</v>
      </c>
      <c r="C790" s="16">
        <v>1</v>
      </c>
      <c r="D790" s="16">
        <v>24</v>
      </c>
      <c r="E790" s="16">
        <v>50</v>
      </c>
    </row>
    <row r="791" spans="1:5" x14ac:dyDescent="0.25">
      <c r="A791" s="6" t="s">
        <v>1046</v>
      </c>
      <c r="B791" s="6" t="s">
        <v>1063</v>
      </c>
      <c r="C791" s="16">
        <v>1</v>
      </c>
      <c r="D791" s="16">
        <v>20</v>
      </c>
      <c r="E791" s="16">
        <f>192/5</f>
        <v>38.4</v>
      </c>
    </row>
    <row r="792" spans="1:5" x14ac:dyDescent="0.25">
      <c r="A792" s="6" t="s">
        <v>1046</v>
      </c>
      <c r="B792" s="6" t="s">
        <v>1054</v>
      </c>
      <c r="C792" s="16">
        <v>1</v>
      </c>
      <c r="D792" s="16">
        <v>34</v>
      </c>
      <c r="E792" s="16">
        <v>30</v>
      </c>
    </row>
    <row r="793" spans="1:5" x14ac:dyDescent="0.25">
      <c r="A793" s="6" t="s">
        <v>1046</v>
      </c>
      <c r="B793" s="6" t="s">
        <v>1055</v>
      </c>
      <c r="C793" s="16">
        <v>1</v>
      </c>
      <c r="D793" s="16">
        <v>1</v>
      </c>
      <c r="E793" s="16">
        <v>82</v>
      </c>
    </row>
    <row r="794" spans="1:5" x14ac:dyDescent="0.25">
      <c r="A794" s="6" t="s">
        <v>1046</v>
      </c>
      <c r="B794" s="6" t="s">
        <v>1056</v>
      </c>
      <c r="C794" s="16">
        <v>1</v>
      </c>
      <c r="D794" s="16">
        <v>5</v>
      </c>
      <c r="E794" s="16">
        <f>164/2</f>
        <v>82</v>
      </c>
    </row>
    <row r="795" spans="1:5" x14ac:dyDescent="0.25">
      <c r="A795" s="6" t="s">
        <v>1046</v>
      </c>
      <c r="B795" s="6" t="s">
        <v>1057</v>
      </c>
      <c r="C795" s="16">
        <v>1</v>
      </c>
      <c r="D795" s="16">
        <v>14</v>
      </c>
      <c r="E795" s="16">
        <f>330/5</f>
        <v>66</v>
      </c>
    </row>
    <row r="796" spans="1:5" x14ac:dyDescent="0.25">
      <c r="A796" s="6" t="s">
        <v>1046</v>
      </c>
      <c r="B796" s="6" t="s">
        <v>1058</v>
      </c>
      <c r="C796" s="16">
        <v>1</v>
      </c>
      <c r="D796" s="16">
        <v>2</v>
      </c>
      <c r="E796" s="16">
        <f>172/2</f>
        <v>86</v>
      </c>
    </row>
    <row r="797" spans="1:5" x14ac:dyDescent="0.25">
      <c r="A797" s="6" t="s">
        <v>1046</v>
      </c>
      <c r="B797" s="6" t="s">
        <v>1059</v>
      </c>
      <c r="C797" s="16">
        <v>1</v>
      </c>
      <c r="D797" s="16">
        <v>10</v>
      </c>
      <c r="E797" s="16">
        <f>456/6</f>
        <v>76</v>
      </c>
    </row>
    <row r="798" spans="1:5" x14ac:dyDescent="0.25">
      <c r="A798" s="6" t="s">
        <v>1046</v>
      </c>
      <c r="B798" s="6" t="s">
        <v>1060</v>
      </c>
      <c r="C798" s="16">
        <v>1</v>
      </c>
      <c r="D798" s="16">
        <v>1</v>
      </c>
      <c r="E798" s="16">
        <v>89</v>
      </c>
    </row>
    <row r="799" spans="1:5" x14ac:dyDescent="0.25">
      <c r="A799" s="6" t="s">
        <v>1046</v>
      </c>
      <c r="B799" s="6" t="s">
        <v>1061</v>
      </c>
      <c r="C799" s="16">
        <v>1</v>
      </c>
      <c r="D799" s="16">
        <v>9</v>
      </c>
      <c r="E799" s="16">
        <v>74</v>
      </c>
    </row>
    <row r="800" spans="1:5" x14ac:dyDescent="0.25">
      <c r="A800" s="6" t="s">
        <v>1046</v>
      </c>
      <c r="B800" s="6" t="s">
        <v>1062</v>
      </c>
      <c r="C800" s="16">
        <v>1</v>
      </c>
      <c r="D800" s="16">
        <f>18+5+6</f>
        <v>29</v>
      </c>
      <c r="E800" s="16">
        <v>50</v>
      </c>
    </row>
    <row r="801" spans="1:5" x14ac:dyDescent="0.25">
      <c r="A801" s="6" t="s">
        <v>1046</v>
      </c>
      <c r="B801" s="6" t="s">
        <v>1064</v>
      </c>
      <c r="C801" s="16">
        <v>1</v>
      </c>
      <c r="D801" s="16">
        <v>23</v>
      </c>
      <c r="E801" s="16">
        <f>280/5</f>
        <v>56</v>
      </c>
    </row>
    <row r="802" spans="1:5" x14ac:dyDescent="0.25">
      <c r="A802" s="6" t="s">
        <v>1046</v>
      </c>
      <c r="B802" s="6" t="s">
        <v>1065</v>
      </c>
      <c r="C802" s="16">
        <v>1</v>
      </c>
      <c r="D802" s="16">
        <v>64</v>
      </c>
      <c r="E802" s="16">
        <f>328/4</f>
        <v>82</v>
      </c>
    </row>
    <row r="803" spans="1:5" x14ac:dyDescent="0.25">
      <c r="A803" s="6" t="s">
        <v>1046</v>
      </c>
      <c r="B803" s="6" t="s">
        <v>1066</v>
      </c>
      <c r="C803" s="16">
        <v>1</v>
      </c>
      <c r="D803" s="16">
        <v>33</v>
      </c>
      <c r="E803" s="16">
        <v>55</v>
      </c>
    </row>
    <row r="804" spans="1:5" x14ac:dyDescent="0.25">
      <c r="A804" s="6" t="s">
        <v>1046</v>
      </c>
      <c r="B804" s="6" t="s">
        <v>1067</v>
      </c>
      <c r="C804" s="16">
        <v>1</v>
      </c>
      <c r="D804" s="16">
        <v>7</v>
      </c>
      <c r="E804" s="16">
        <f>198/3</f>
        <v>66</v>
      </c>
    </row>
    <row r="805" spans="1:5" x14ac:dyDescent="0.25">
      <c r="A805" s="6" t="s">
        <v>1046</v>
      </c>
      <c r="B805" s="6" t="s">
        <v>1068</v>
      </c>
      <c r="C805" s="16">
        <v>1</v>
      </c>
      <c r="D805" s="16">
        <f>27+5+2</f>
        <v>34</v>
      </c>
      <c r="E805" s="16">
        <f>325/5</f>
        <v>65</v>
      </c>
    </row>
    <row r="806" spans="1:5" x14ac:dyDescent="0.25">
      <c r="A806" s="6" t="s">
        <v>1069</v>
      </c>
      <c r="B806" s="6" t="s">
        <v>1074</v>
      </c>
      <c r="C806" s="16">
        <v>1</v>
      </c>
      <c r="D806" s="16">
        <v>153</v>
      </c>
      <c r="E806" s="16">
        <f>264/3</f>
        <v>88</v>
      </c>
    </row>
    <row r="807" spans="1:5" x14ac:dyDescent="0.25">
      <c r="A807" s="6" t="s">
        <v>1069</v>
      </c>
      <c r="B807" s="6" t="s">
        <v>1075</v>
      </c>
      <c r="C807" s="16">
        <v>1</v>
      </c>
      <c r="D807" s="16">
        <v>193</v>
      </c>
      <c r="E807" s="16">
        <f>1100/25</f>
        <v>44</v>
      </c>
    </row>
    <row r="808" spans="1:5" x14ac:dyDescent="0.25">
      <c r="A808" s="6" t="s">
        <v>1069</v>
      </c>
      <c r="B808" s="6" t="s">
        <v>1076</v>
      </c>
      <c r="C808" s="16">
        <v>1</v>
      </c>
      <c r="D808" s="16">
        <f>10+6+50+45</f>
        <v>111</v>
      </c>
      <c r="E808" s="16">
        <v>60</v>
      </c>
    </row>
    <row r="809" spans="1:5" x14ac:dyDescent="0.25">
      <c r="A809" s="6" t="s">
        <v>1070</v>
      </c>
      <c r="B809" s="6" t="s">
        <v>1077</v>
      </c>
      <c r="C809" s="16">
        <v>1</v>
      </c>
      <c r="D809" s="16">
        <v>7</v>
      </c>
      <c r="E809" s="16">
        <v>60</v>
      </c>
    </row>
    <row r="810" spans="1:5" x14ac:dyDescent="0.25">
      <c r="A810" s="6" t="s">
        <v>1071</v>
      </c>
      <c r="B810" s="6" t="s">
        <v>1078</v>
      </c>
      <c r="C810" s="16">
        <v>1</v>
      </c>
      <c r="D810" s="16">
        <v>83</v>
      </c>
      <c r="E810" s="16">
        <v>66</v>
      </c>
    </row>
    <row r="811" spans="1:5" x14ac:dyDescent="0.25">
      <c r="A811" s="6" t="s">
        <v>1072</v>
      </c>
      <c r="B811" s="6" t="s">
        <v>1079</v>
      </c>
      <c r="C811" s="16">
        <v>1</v>
      </c>
      <c r="D811" s="16">
        <v>1</v>
      </c>
      <c r="E811" s="16">
        <v>34.200000000000003</v>
      </c>
    </row>
    <row r="812" spans="1:5" x14ac:dyDescent="0.25">
      <c r="A812" s="6" t="s">
        <v>1153</v>
      </c>
      <c r="B812" s="6" t="s">
        <v>1155</v>
      </c>
      <c r="C812" s="16">
        <v>1</v>
      </c>
      <c r="D812" s="16">
        <v>60</v>
      </c>
      <c r="E812" s="16">
        <v>60</v>
      </c>
    </row>
    <row r="813" spans="1:5" x14ac:dyDescent="0.25">
      <c r="A813" s="6" t="s">
        <v>1153</v>
      </c>
      <c r="B813" s="6" t="s">
        <v>1156</v>
      </c>
      <c r="C813" s="16">
        <v>1</v>
      </c>
      <c r="D813" s="16">
        <v>60</v>
      </c>
      <c r="E813" s="16">
        <v>60</v>
      </c>
    </row>
    <row r="814" spans="1:5" x14ac:dyDescent="0.25">
      <c r="A814" s="6" t="s">
        <v>1073</v>
      </c>
      <c r="B814" s="6" t="s">
        <v>1080</v>
      </c>
      <c r="C814" s="16">
        <v>1</v>
      </c>
      <c r="D814" s="16">
        <v>32</v>
      </c>
      <c r="E814" s="16">
        <f>300/6</f>
        <v>50</v>
      </c>
    </row>
    <row r="815" spans="1:5" x14ac:dyDescent="0.25">
      <c r="A815" s="6" t="s">
        <v>1073</v>
      </c>
      <c r="B815" s="6" t="s">
        <v>1081</v>
      </c>
      <c r="C815" s="16">
        <v>1</v>
      </c>
      <c r="D815" s="16">
        <v>6</v>
      </c>
      <c r="E815" s="16">
        <f>195/3</f>
        <v>65</v>
      </c>
    </row>
    <row r="816" spans="1:5" x14ac:dyDescent="0.25">
      <c r="A816" s="6" t="s">
        <v>1073</v>
      </c>
      <c r="B816" s="6" t="s">
        <v>1082</v>
      </c>
      <c r="C816" s="16">
        <v>1</v>
      </c>
      <c r="D816" s="16">
        <v>26</v>
      </c>
      <c r="E816" s="16">
        <v>50</v>
      </c>
    </row>
    <row r="817" spans="1:5" x14ac:dyDescent="0.25">
      <c r="A817" s="6" t="s">
        <v>1073</v>
      </c>
      <c r="B817" s="6" t="s">
        <v>1083</v>
      </c>
      <c r="C817" s="16">
        <v>1</v>
      </c>
      <c r="D817" s="16">
        <v>34</v>
      </c>
      <c r="E817" s="16">
        <v>62.5</v>
      </c>
    </row>
    <row r="818" spans="1:5" x14ac:dyDescent="0.25">
      <c r="A818" s="6" t="s">
        <v>1073</v>
      </c>
      <c r="B818" s="6" t="s">
        <v>1084</v>
      </c>
      <c r="C818" s="16">
        <v>1</v>
      </c>
      <c r="D818" s="16">
        <v>11</v>
      </c>
      <c r="E818" s="16">
        <v>60</v>
      </c>
    </row>
    <row r="819" spans="1:5" x14ac:dyDescent="0.25">
      <c r="A819" s="6" t="s">
        <v>1085</v>
      </c>
      <c r="B819" s="6" t="s">
        <v>1087</v>
      </c>
      <c r="C819" s="16">
        <v>1</v>
      </c>
      <c r="D819" s="16">
        <v>26</v>
      </c>
      <c r="E819" s="16">
        <f>132/3</f>
        <v>44</v>
      </c>
    </row>
    <row r="820" spans="1:5" x14ac:dyDescent="0.25">
      <c r="A820" s="6" t="s">
        <v>1085</v>
      </c>
      <c r="B820" s="6" t="s">
        <v>1088</v>
      </c>
      <c r="C820" s="16">
        <v>1</v>
      </c>
      <c r="D820" s="16">
        <v>2</v>
      </c>
      <c r="E820" s="16">
        <f>76/2</f>
        <v>38</v>
      </c>
    </row>
    <row r="821" spans="1:5" x14ac:dyDescent="0.25">
      <c r="A821" s="6" t="s">
        <v>1085</v>
      </c>
      <c r="B821" s="6" t="s">
        <v>1089</v>
      </c>
      <c r="C821" s="16">
        <v>1</v>
      </c>
      <c r="D821" s="16">
        <f>13+19</f>
        <v>32</v>
      </c>
      <c r="E821" s="16">
        <v>64</v>
      </c>
    </row>
    <row r="822" spans="1:5" x14ac:dyDescent="0.25">
      <c r="A822" s="6" t="s">
        <v>1085</v>
      </c>
      <c r="B822" s="6" t="s">
        <v>1090</v>
      </c>
      <c r="C822" s="16">
        <v>1</v>
      </c>
      <c r="D822" s="16">
        <v>6</v>
      </c>
      <c r="E822" s="16">
        <v>50</v>
      </c>
    </row>
    <row r="823" spans="1:5" x14ac:dyDescent="0.25">
      <c r="A823" s="6" t="s">
        <v>1086</v>
      </c>
      <c r="B823" s="6" t="s">
        <v>1091</v>
      </c>
      <c r="C823" s="16">
        <v>1</v>
      </c>
      <c r="D823" s="16">
        <f>10+3+5+63</f>
        <v>81</v>
      </c>
      <c r="E823" s="16">
        <v>27.2</v>
      </c>
    </row>
    <row r="824" spans="1:5" x14ac:dyDescent="0.25">
      <c r="A824" s="6" t="s">
        <v>1086</v>
      </c>
      <c r="B824" s="6" t="s">
        <v>1092</v>
      </c>
      <c r="C824" s="16">
        <v>5</v>
      </c>
      <c r="D824" s="16">
        <f>31+15</f>
        <v>46</v>
      </c>
      <c r="E824" s="16">
        <f>1200/16</f>
        <v>75</v>
      </c>
    </row>
    <row r="825" spans="1:5" x14ac:dyDescent="0.25">
      <c r="A825" s="6" t="s">
        <v>1086</v>
      </c>
      <c r="B825" s="6" t="s">
        <v>1093</v>
      </c>
      <c r="C825" s="16">
        <v>1</v>
      </c>
      <c r="D825" s="16">
        <f>6+5+76</f>
        <v>87</v>
      </c>
      <c r="E825" s="16">
        <v>27.2</v>
      </c>
    </row>
    <row r="826" spans="1:5" x14ac:dyDescent="0.25">
      <c r="A826" s="6" t="s">
        <v>1086</v>
      </c>
      <c r="B826" s="6" t="s">
        <v>1094</v>
      </c>
      <c r="C826" s="16">
        <v>5</v>
      </c>
      <c r="D826" s="16">
        <f>29+15</f>
        <v>44</v>
      </c>
      <c r="E826" s="16">
        <f>1200/16</f>
        <v>75</v>
      </c>
    </row>
    <row r="827" spans="1:5" x14ac:dyDescent="0.25">
      <c r="A827" s="6" t="s">
        <v>1086</v>
      </c>
      <c r="B827" s="6" t="s">
        <v>1100</v>
      </c>
      <c r="C827" s="16">
        <v>1</v>
      </c>
      <c r="D827" s="16">
        <v>63</v>
      </c>
      <c r="E827" s="16">
        <v>27.2</v>
      </c>
    </row>
    <row r="828" spans="1:5" x14ac:dyDescent="0.25">
      <c r="A828" s="6" t="s">
        <v>1086</v>
      </c>
      <c r="B828" s="6" t="s">
        <v>1101</v>
      </c>
      <c r="C828" s="16">
        <v>5</v>
      </c>
      <c r="D828" s="16">
        <f>30+15</f>
        <v>45</v>
      </c>
      <c r="E828" s="16">
        <f>1200/16</f>
        <v>75</v>
      </c>
    </row>
    <row r="829" spans="1:5" x14ac:dyDescent="0.25">
      <c r="A829" s="6" t="s">
        <v>1086</v>
      </c>
      <c r="B829" s="6" t="s">
        <v>1095</v>
      </c>
      <c r="C829" s="16">
        <v>1</v>
      </c>
      <c r="D829" s="16">
        <v>13</v>
      </c>
      <c r="E829" s="16">
        <v>27.2</v>
      </c>
    </row>
    <row r="830" spans="1:5" x14ac:dyDescent="0.25">
      <c r="A830" s="6" t="s">
        <v>1086</v>
      </c>
      <c r="B830" s="6" t="s">
        <v>1096</v>
      </c>
      <c r="C830" s="16">
        <v>1</v>
      </c>
      <c r="D830" s="16">
        <f>6+20+57</f>
        <v>83</v>
      </c>
      <c r="E830" s="16">
        <v>27.2</v>
      </c>
    </row>
    <row r="831" spans="1:5" x14ac:dyDescent="0.25">
      <c r="A831" s="6" t="s">
        <v>1086</v>
      </c>
      <c r="B831" s="6" t="s">
        <v>1097</v>
      </c>
      <c r="C831" s="16">
        <v>5</v>
      </c>
      <c r="D831" s="16">
        <v>26</v>
      </c>
      <c r="E831" s="16">
        <f>1200/16</f>
        <v>75</v>
      </c>
    </row>
    <row r="832" spans="1:5" x14ac:dyDescent="0.25">
      <c r="A832" s="6" t="s">
        <v>1086</v>
      </c>
      <c r="B832" s="6" t="s">
        <v>1098</v>
      </c>
      <c r="C832" s="16">
        <v>1</v>
      </c>
      <c r="D832" s="16">
        <v>128</v>
      </c>
      <c r="E832" s="16">
        <v>27.2</v>
      </c>
    </row>
    <row r="833" spans="1:5" x14ac:dyDescent="0.25">
      <c r="A833" s="6" t="s">
        <v>1086</v>
      </c>
      <c r="B833" s="6" t="s">
        <v>1099</v>
      </c>
      <c r="C833" s="16">
        <v>5</v>
      </c>
      <c r="D833" s="16">
        <f>61+15</f>
        <v>76</v>
      </c>
      <c r="E833" s="16">
        <f>1200/16</f>
        <v>75</v>
      </c>
    </row>
    <row r="834" spans="1:5" x14ac:dyDescent="0.25">
      <c r="A834" s="6" t="s">
        <v>1086</v>
      </c>
      <c r="B834" s="6" t="s">
        <v>1102</v>
      </c>
      <c r="C834" s="16">
        <v>5</v>
      </c>
      <c r="D834" s="16">
        <v>16</v>
      </c>
      <c r="E834" s="16">
        <v>75</v>
      </c>
    </row>
    <row r="835" spans="1:5" x14ac:dyDescent="0.25">
      <c r="A835" s="6" t="s">
        <v>1086</v>
      </c>
      <c r="B835" s="6" t="s">
        <v>1103</v>
      </c>
      <c r="C835" s="16">
        <v>1</v>
      </c>
      <c r="D835" s="16">
        <f>20+12+25+50+116</f>
        <v>223</v>
      </c>
      <c r="E835" s="16">
        <v>27.2</v>
      </c>
    </row>
    <row r="836" spans="1:5" x14ac:dyDescent="0.25">
      <c r="A836" s="6" t="s">
        <v>1086</v>
      </c>
      <c r="B836" s="6" t="s">
        <v>1104</v>
      </c>
      <c r="C836" s="16">
        <v>1</v>
      </c>
      <c r="D836" s="16">
        <f>47+15</f>
        <v>62</v>
      </c>
      <c r="E836" s="16">
        <v>75</v>
      </c>
    </row>
    <row r="837" spans="1:5" x14ac:dyDescent="0.25">
      <c r="A837" s="6" t="s">
        <v>1105</v>
      </c>
      <c r="B837" s="6" t="s">
        <v>1106</v>
      </c>
      <c r="C837" s="16">
        <v>1</v>
      </c>
      <c r="D837" s="16">
        <v>4</v>
      </c>
      <c r="E837" s="16">
        <f>208/4</f>
        <v>52</v>
      </c>
    </row>
    <row r="838" spans="1:5" x14ac:dyDescent="0.25">
      <c r="A838" s="6" t="s">
        <v>1105</v>
      </c>
      <c r="B838" s="6" t="s">
        <v>1107</v>
      </c>
      <c r="C838" s="16">
        <v>1</v>
      </c>
      <c r="D838" s="16">
        <v>8</v>
      </c>
      <c r="E838" s="16">
        <v>55</v>
      </c>
    </row>
    <row r="839" spans="1:5" x14ac:dyDescent="0.25">
      <c r="A839" s="6" t="s">
        <v>1105</v>
      </c>
      <c r="B839" s="6" t="s">
        <v>1108</v>
      </c>
      <c r="C839" s="16">
        <v>1</v>
      </c>
      <c r="D839" s="16">
        <v>1</v>
      </c>
      <c r="E839" s="16">
        <v>98</v>
      </c>
    </row>
    <row r="840" spans="1:5" x14ac:dyDescent="0.25">
      <c r="A840" s="6" t="s">
        <v>1105</v>
      </c>
      <c r="B840" s="6" t="s">
        <v>1109</v>
      </c>
      <c r="C840" s="16">
        <v>1</v>
      </c>
      <c r="D840" s="16">
        <v>11</v>
      </c>
      <c r="E840" s="16">
        <f>350/5</f>
        <v>70</v>
      </c>
    </row>
    <row r="841" spans="1:5" x14ac:dyDescent="0.25">
      <c r="A841" s="6" t="s">
        <v>1105</v>
      </c>
      <c r="B841" s="6" t="s">
        <v>1110</v>
      </c>
      <c r="C841" s="16">
        <v>1</v>
      </c>
      <c r="D841" s="16">
        <v>19</v>
      </c>
      <c r="E841" s="16">
        <f>660/12</f>
        <v>55</v>
      </c>
    </row>
    <row r="842" spans="1:5" x14ac:dyDescent="0.25">
      <c r="A842" s="6" t="s">
        <v>1105</v>
      </c>
      <c r="B842" s="6" t="s">
        <v>1111</v>
      </c>
      <c r="C842" s="16">
        <v>1</v>
      </c>
      <c r="D842" s="16">
        <v>4</v>
      </c>
      <c r="E842" s="16">
        <v>50</v>
      </c>
    </row>
    <row r="843" spans="1:5" x14ac:dyDescent="0.25">
      <c r="A843" s="6" t="s">
        <v>1105</v>
      </c>
      <c r="B843" s="6" t="s">
        <v>1112</v>
      </c>
      <c r="C843" s="16">
        <v>1</v>
      </c>
      <c r="D843" s="16">
        <v>20</v>
      </c>
      <c r="E843" s="16">
        <f>1200/20</f>
        <v>60</v>
      </c>
    </row>
    <row r="844" spans="1:5" x14ac:dyDescent="0.25">
      <c r="A844" s="6" t="s">
        <v>1105</v>
      </c>
      <c r="B844" s="6" t="s">
        <v>1113</v>
      </c>
      <c r="C844" s="16">
        <v>1</v>
      </c>
      <c r="D844" s="16">
        <v>7</v>
      </c>
      <c r="E844" s="16">
        <f>222/3</f>
        <v>74</v>
      </c>
    </row>
    <row r="845" spans="1:5" x14ac:dyDescent="0.25">
      <c r="A845" s="6" t="s">
        <v>1114</v>
      </c>
      <c r="B845" s="6" t="s">
        <v>1118</v>
      </c>
      <c r="C845" s="16">
        <v>5</v>
      </c>
      <c r="D845" s="16">
        <v>4</v>
      </c>
      <c r="E845" s="16">
        <f>300/4</f>
        <v>75</v>
      </c>
    </row>
    <row r="846" spans="1:5" x14ac:dyDescent="0.25">
      <c r="A846" s="6" t="s">
        <v>1114</v>
      </c>
      <c r="B846" s="6" t="s">
        <v>1119</v>
      </c>
      <c r="C846" s="16">
        <v>5</v>
      </c>
      <c r="D846" s="16">
        <v>26</v>
      </c>
      <c r="E846" s="16">
        <f>300/4</f>
        <v>75</v>
      </c>
    </row>
    <row r="847" spans="1:5" x14ac:dyDescent="0.25">
      <c r="A847" s="6" t="s">
        <v>1114</v>
      </c>
      <c r="B847" s="6" t="s">
        <v>1120</v>
      </c>
      <c r="C847" s="16">
        <v>5</v>
      </c>
      <c r="D847" s="16">
        <v>26</v>
      </c>
      <c r="E847" s="16">
        <f>300/4</f>
        <v>75</v>
      </c>
    </row>
    <row r="848" spans="1:5" x14ac:dyDescent="0.25">
      <c r="A848" s="6" t="s">
        <v>1114</v>
      </c>
      <c r="B848" s="6" t="s">
        <v>1121</v>
      </c>
      <c r="C848" s="16">
        <v>5</v>
      </c>
      <c r="D848" s="16">
        <v>60</v>
      </c>
      <c r="E848" s="16">
        <f>300/4</f>
        <v>75</v>
      </c>
    </row>
    <row r="849" spans="1:5" x14ac:dyDescent="0.25">
      <c r="A849" s="6" t="s">
        <v>1115</v>
      </c>
      <c r="B849" s="6" t="s">
        <v>1122</v>
      </c>
      <c r="C849" s="16">
        <v>5</v>
      </c>
      <c r="D849" s="16">
        <v>63</v>
      </c>
      <c r="E849" s="16">
        <v>119.95</v>
      </c>
    </row>
    <row r="850" spans="1:5" x14ac:dyDescent="0.25">
      <c r="A850" s="6" t="s">
        <v>1115</v>
      </c>
      <c r="B850" s="6" t="s">
        <v>1123</v>
      </c>
      <c r="C850" s="16">
        <v>5</v>
      </c>
      <c r="D850" s="16">
        <v>55</v>
      </c>
      <c r="E850" s="16">
        <v>114.95</v>
      </c>
    </row>
    <row r="851" spans="1:5" x14ac:dyDescent="0.25">
      <c r="A851" s="6" t="s">
        <v>1115</v>
      </c>
      <c r="B851" s="6" t="s">
        <v>1124</v>
      </c>
      <c r="C851" s="16">
        <v>5</v>
      </c>
      <c r="D851" s="16">
        <v>10</v>
      </c>
      <c r="E851" s="16">
        <v>119.95</v>
      </c>
    </row>
    <row r="852" spans="1:5" x14ac:dyDescent="0.25">
      <c r="A852" s="6" t="s">
        <v>1116</v>
      </c>
      <c r="B852" s="6" t="s">
        <v>1125</v>
      </c>
      <c r="C852" s="16">
        <v>1</v>
      </c>
      <c r="D852" s="16">
        <v>3</v>
      </c>
      <c r="E852" s="16">
        <v>50</v>
      </c>
    </row>
    <row r="853" spans="1:5" x14ac:dyDescent="0.25">
      <c r="A853" s="6" t="s">
        <v>1116</v>
      </c>
      <c r="B853" s="6" t="s">
        <v>1126</v>
      </c>
      <c r="C853" s="16">
        <v>1</v>
      </c>
      <c r="D853" s="16">
        <v>4</v>
      </c>
      <c r="E853" s="16">
        <v>50</v>
      </c>
    </row>
    <row r="854" spans="1:5" x14ac:dyDescent="0.25">
      <c r="A854" s="6" t="s">
        <v>1116</v>
      </c>
      <c r="B854" s="6" t="s">
        <v>1127</v>
      </c>
      <c r="C854" s="16">
        <v>1</v>
      </c>
      <c r="D854" s="16">
        <v>13</v>
      </c>
      <c r="E854" s="16">
        <f>360/6</f>
        <v>60</v>
      </c>
    </row>
    <row r="855" spans="1:5" x14ac:dyDescent="0.25">
      <c r="A855" s="6" t="s">
        <v>1116</v>
      </c>
      <c r="B855" s="6" t="s">
        <v>1128</v>
      </c>
      <c r="C855" s="16">
        <v>1</v>
      </c>
      <c r="D855" s="16">
        <v>3</v>
      </c>
      <c r="E855" s="16">
        <f>195/3</f>
        <v>65</v>
      </c>
    </row>
    <row r="856" spans="1:5" x14ac:dyDescent="0.25">
      <c r="A856" s="6" t="s">
        <v>1116</v>
      </c>
      <c r="B856" s="6" t="s">
        <v>1129</v>
      </c>
      <c r="C856" s="16">
        <v>1</v>
      </c>
      <c r="D856" s="16">
        <v>17</v>
      </c>
      <c r="E856" s="16">
        <f>968/11</f>
        <v>88</v>
      </c>
    </row>
    <row r="857" spans="1:5" x14ac:dyDescent="0.25">
      <c r="A857" s="6" t="s">
        <v>1116</v>
      </c>
      <c r="B857" s="6" t="s">
        <v>1130</v>
      </c>
      <c r="C857" s="16">
        <v>1</v>
      </c>
      <c r="D857" s="16">
        <v>17</v>
      </c>
      <c r="E857" s="16">
        <v>88</v>
      </c>
    </row>
    <row r="858" spans="1:5" x14ac:dyDescent="0.25">
      <c r="A858" s="6" t="s">
        <v>1117</v>
      </c>
      <c r="B858" s="6" t="s">
        <v>1131</v>
      </c>
      <c r="C858" s="16">
        <v>5</v>
      </c>
      <c r="D858" s="16">
        <v>685</v>
      </c>
      <c r="E858" s="16">
        <v>12.9</v>
      </c>
    </row>
    <row r="859" spans="1:5" x14ac:dyDescent="0.25">
      <c r="A859" s="6" t="s">
        <v>1117</v>
      </c>
      <c r="B859" s="6" t="s">
        <v>1132</v>
      </c>
      <c r="C859" s="16">
        <v>5</v>
      </c>
      <c r="D859" s="16">
        <v>895</v>
      </c>
      <c r="E859" s="16">
        <v>12.9</v>
      </c>
    </row>
    <row r="860" spans="1:5" x14ac:dyDescent="0.25">
      <c r="A860" s="6" t="s">
        <v>1117</v>
      </c>
      <c r="B860" s="6" t="s">
        <v>1133</v>
      </c>
      <c r="C860" s="16">
        <v>5</v>
      </c>
      <c r="D860" s="16">
        <v>1140</v>
      </c>
      <c r="E860" s="16">
        <v>12.9</v>
      </c>
    </row>
    <row r="861" spans="1:5" x14ac:dyDescent="0.25">
      <c r="A861" s="6" t="s">
        <v>1117</v>
      </c>
      <c r="B861" s="6" t="s">
        <v>1134</v>
      </c>
      <c r="C861" s="16">
        <v>1</v>
      </c>
      <c r="D861" s="16">
        <f>70+27+50+25+54</f>
        <v>226</v>
      </c>
      <c r="E861" s="16">
        <v>20</v>
      </c>
    </row>
    <row r="862" spans="1:5" x14ac:dyDescent="0.25">
      <c r="A862" s="6" t="s">
        <v>1117</v>
      </c>
      <c r="B862" s="6" t="s">
        <v>1135</v>
      </c>
      <c r="C862" s="16">
        <v>1</v>
      </c>
      <c r="D862" s="16">
        <v>101</v>
      </c>
      <c r="E862" s="16">
        <v>50</v>
      </c>
    </row>
    <row r="863" spans="1:5" x14ac:dyDescent="0.25">
      <c r="A863" s="6" t="s">
        <v>1136</v>
      </c>
      <c r="B863" s="6" t="s">
        <v>1137</v>
      </c>
      <c r="C863" s="16">
        <v>1</v>
      </c>
      <c r="D863" s="16">
        <v>7</v>
      </c>
      <c r="E863" s="16">
        <f>420/7</f>
        <v>60</v>
      </c>
    </row>
    <row r="864" spans="1:5" x14ac:dyDescent="0.25">
      <c r="A864" s="6" t="s">
        <v>1136</v>
      </c>
      <c r="B864" s="6" t="s">
        <v>1138</v>
      </c>
      <c r="C864" s="16">
        <v>1</v>
      </c>
      <c r="D864" s="16">
        <v>50</v>
      </c>
      <c r="E864" s="16">
        <v>36</v>
      </c>
    </row>
    <row r="865" spans="1:5" x14ac:dyDescent="0.25">
      <c r="A865" s="6" t="s">
        <v>1136</v>
      </c>
      <c r="B865" s="6" t="s">
        <v>1139</v>
      </c>
      <c r="C865" s="16">
        <v>1</v>
      </c>
      <c r="D865" s="16">
        <v>107</v>
      </c>
      <c r="E865" s="16">
        <v>68</v>
      </c>
    </row>
    <row r="866" spans="1:5" x14ac:dyDescent="0.25">
      <c r="A866" s="6" t="s">
        <v>1136</v>
      </c>
      <c r="B866" s="6" t="s">
        <v>1140</v>
      </c>
      <c r="C866" s="16">
        <v>1</v>
      </c>
      <c r="D866" s="16">
        <v>21</v>
      </c>
      <c r="E866" s="16">
        <f>210/5</f>
        <v>42</v>
      </c>
    </row>
    <row r="867" spans="1:5" x14ac:dyDescent="0.25">
      <c r="A867" s="6" t="s">
        <v>1136</v>
      </c>
      <c r="B867" s="6" t="s">
        <v>1141</v>
      </c>
      <c r="C867" s="16">
        <v>1</v>
      </c>
      <c r="D867" s="16">
        <v>15</v>
      </c>
      <c r="E867" s="16">
        <v>108</v>
      </c>
    </row>
    <row r="868" spans="1:5" x14ac:dyDescent="0.25">
      <c r="A868" s="6" t="s">
        <v>1136</v>
      </c>
      <c r="B868" s="6" t="s">
        <v>1142</v>
      </c>
      <c r="C868" s="16">
        <v>1</v>
      </c>
      <c r="D868" s="16">
        <v>14</v>
      </c>
      <c r="E868" s="16">
        <f>330/5</f>
        <v>66</v>
      </c>
    </row>
    <row r="869" spans="1:5" x14ac:dyDescent="0.25">
      <c r="A869" s="6" t="s">
        <v>1136</v>
      </c>
      <c r="B869" s="6" t="s">
        <v>1143</v>
      </c>
      <c r="C869" s="16">
        <v>1</v>
      </c>
      <c r="D869" s="16">
        <v>12</v>
      </c>
      <c r="E869" s="16">
        <f>156/3</f>
        <v>52</v>
      </c>
    </row>
    <row r="870" spans="1:5" x14ac:dyDescent="0.25">
      <c r="A870" s="6" t="s">
        <v>1136</v>
      </c>
      <c r="B870" s="6" t="s">
        <v>1144</v>
      </c>
      <c r="C870" s="16">
        <v>1</v>
      </c>
      <c r="D870" s="16">
        <f>3+5+1+8</f>
        <v>17</v>
      </c>
      <c r="E870" s="16">
        <f>300/5</f>
        <v>60</v>
      </c>
    </row>
    <row r="871" spans="1:5" x14ac:dyDescent="0.25">
      <c r="A871" s="6" t="s">
        <v>1136</v>
      </c>
      <c r="B871" s="6" t="s">
        <v>1145</v>
      </c>
      <c r="C871" s="16">
        <v>1</v>
      </c>
      <c r="D871" s="16">
        <f>23+15</f>
        <v>38</v>
      </c>
      <c r="E871" s="16">
        <v>70</v>
      </c>
    </row>
    <row r="872" spans="1:5" x14ac:dyDescent="0.25">
      <c r="A872" s="6" t="s">
        <v>1136</v>
      </c>
      <c r="B872" s="6" t="s">
        <v>1146</v>
      </c>
      <c r="C872" s="16">
        <v>1</v>
      </c>
      <c r="D872" s="16">
        <v>95</v>
      </c>
      <c r="E872" s="16">
        <v>45</v>
      </c>
    </row>
    <row r="873" spans="1:5" x14ac:dyDescent="0.25">
      <c r="A873" s="6" t="s">
        <v>1136</v>
      </c>
      <c r="B873" s="6" t="s">
        <v>1147</v>
      </c>
      <c r="C873" s="16">
        <v>1</v>
      </c>
      <c r="D873" s="16">
        <v>16</v>
      </c>
      <c r="E873" s="16">
        <v>46.5</v>
      </c>
    </row>
    <row r="874" spans="1:5" x14ac:dyDescent="0.25">
      <c r="A874" s="6" t="s">
        <v>1136</v>
      </c>
      <c r="B874" s="6" t="s">
        <v>1148</v>
      </c>
      <c r="C874" s="16">
        <v>1</v>
      </c>
      <c r="D874" s="16">
        <v>85</v>
      </c>
      <c r="E874" s="16">
        <f>162/3</f>
        <v>54</v>
      </c>
    </row>
    <row r="875" spans="1:5" x14ac:dyDescent="0.25">
      <c r="A875" s="6" t="s">
        <v>1136</v>
      </c>
      <c r="B875" s="6" t="s">
        <v>1150</v>
      </c>
      <c r="C875" s="16">
        <v>1</v>
      </c>
      <c r="D875" s="16">
        <v>48</v>
      </c>
      <c r="E875" s="16">
        <v>50</v>
      </c>
    </row>
    <row r="876" spans="1:5" x14ac:dyDescent="0.25">
      <c r="A876" s="6" t="s">
        <v>1149</v>
      </c>
      <c r="B876" s="6" t="s">
        <v>1151</v>
      </c>
      <c r="C876" s="16">
        <v>5</v>
      </c>
      <c r="D876" s="16">
        <v>190</v>
      </c>
      <c r="E876" s="16">
        <f>12100/110</f>
        <v>110</v>
      </c>
    </row>
    <row r="877" spans="1:5" x14ac:dyDescent="0.25">
      <c r="A877" s="6" t="s">
        <v>207</v>
      </c>
      <c r="B877" s="6" t="s">
        <v>1152</v>
      </c>
      <c r="C877" s="16">
        <v>5</v>
      </c>
      <c r="D877" s="16">
        <v>359</v>
      </c>
      <c r="E877" s="16">
        <v>42.85</v>
      </c>
    </row>
    <row r="878" spans="1:5" x14ac:dyDescent="0.25">
      <c r="A878" s="6" t="s">
        <v>1160</v>
      </c>
      <c r="B878" s="6" t="s">
        <v>1161</v>
      </c>
      <c r="C878" s="16">
        <v>1</v>
      </c>
      <c r="D878" s="16">
        <v>60</v>
      </c>
      <c r="E878" s="16">
        <v>60</v>
      </c>
    </row>
    <row r="879" spans="1:5" x14ac:dyDescent="0.25">
      <c r="C879" s="1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E43"/>
  <sheetViews>
    <sheetView workbookViewId="0">
      <selection activeCell="G8" sqref="G8"/>
    </sheetView>
  </sheetViews>
  <sheetFormatPr defaultRowHeight="13.2" x14ac:dyDescent="0.25"/>
  <cols>
    <col min="1" max="1" width="20.5546875" customWidth="1"/>
    <col min="2" max="2" width="24.88671875" bestFit="1" customWidth="1"/>
    <col min="3" max="3" width="15.44140625" customWidth="1"/>
    <col min="4" max="4" width="18.5546875" customWidth="1"/>
    <col min="5" max="5" width="19.77734375" customWidth="1"/>
  </cols>
  <sheetData>
    <row r="2" spans="1:5" ht="21" x14ac:dyDescent="0.4">
      <c r="A2" s="1" t="s">
        <v>12</v>
      </c>
    </row>
    <row r="4" spans="1:5" ht="52.8" x14ac:dyDescent="0.25">
      <c r="A4" s="2" t="s">
        <v>0</v>
      </c>
      <c r="B4" s="2" t="s">
        <v>1</v>
      </c>
      <c r="C4" s="3" t="s">
        <v>7</v>
      </c>
      <c r="D4" s="3" t="s">
        <v>6</v>
      </c>
      <c r="E4" s="3" t="s">
        <v>4</v>
      </c>
    </row>
    <row r="5" spans="1:5" x14ac:dyDescent="0.25">
      <c r="A5" s="11" t="s">
        <v>184</v>
      </c>
      <c r="B5" s="12" t="s">
        <v>185</v>
      </c>
      <c r="C5" s="13">
        <v>20</v>
      </c>
      <c r="D5" s="13">
        <v>20</v>
      </c>
      <c r="E5" s="14">
        <v>54</v>
      </c>
    </row>
    <row r="6" spans="1:5" x14ac:dyDescent="0.25">
      <c r="A6" s="15" t="s">
        <v>88</v>
      </c>
      <c r="B6" s="6" t="s">
        <v>195</v>
      </c>
      <c r="C6" s="16">
        <v>10</v>
      </c>
      <c r="D6" s="16">
        <v>175</v>
      </c>
      <c r="E6" s="16">
        <v>40</v>
      </c>
    </row>
    <row r="7" spans="1:5" x14ac:dyDescent="0.25">
      <c r="A7" s="15" t="s">
        <v>88</v>
      </c>
      <c r="B7" s="6" t="s">
        <v>195</v>
      </c>
      <c r="C7" s="16">
        <v>50</v>
      </c>
      <c r="D7" s="16">
        <v>87</v>
      </c>
      <c r="E7" s="16">
        <v>200</v>
      </c>
    </row>
    <row r="8" spans="1:5" x14ac:dyDescent="0.25">
      <c r="A8" s="15" t="s">
        <v>88</v>
      </c>
      <c r="B8" s="6" t="s">
        <v>196</v>
      </c>
      <c r="C8" s="16">
        <v>10</v>
      </c>
      <c r="D8" s="16">
        <v>20</v>
      </c>
      <c r="E8" s="16">
        <v>40</v>
      </c>
    </row>
    <row r="9" spans="1:5" x14ac:dyDescent="0.25">
      <c r="A9" s="15" t="s">
        <v>88</v>
      </c>
      <c r="B9" s="6" t="s">
        <v>196</v>
      </c>
      <c r="C9" s="16">
        <v>50</v>
      </c>
      <c r="D9" s="16">
        <v>1</v>
      </c>
      <c r="E9" s="16">
        <v>200</v>
      </c>
    </row>
    <row r="10" spans="1:5" x14ac:dyDescent="0.25">
      <c r="A10" s="15" t="s">
        <v>197</v>
      </c>
      <c r="B10" s="6" t="s">
        <v>198</v>
      </c>
      <c r="C10" s="16">
        <v>12</v>
      </c>
      <c r="D10" s="16">
        <v>45</v>
      </c>
      <c r="E10" s="16">
        <v>45</v>
      </c>
    </row>
    <row r="11" spans="1:5" x14ac:dyDescent="0.25">
      <c r="A11" s="15" t="s">
        <v>197</v>
      </c>
      <c r="B11" s="6" t="s">
        <v>199</v>
      </c>
      <c r="C11" s="16">
        <v>12</v>
      </c>
      <c r="D11" s="16">
        <v>54</v>
      </c>
      <c r="E11" s="16">
        <v>45</v>
      </c>
    </row>
    <row r="12" spans="1:5" x14ac:dyDescent="0.25">
      <c r="A12" s="15" t="s">
        <v>197</v>
      </c>
      <c r="B12" s="6" t="s">
        <v>200</v>
      </c>
      <c r="C12" s="16">
        <v>12</v>
      </c>
      <c r="D12" s="16">
        <v>32</v>
      </c>
      <c r="E12" s="16">
        <v>45</v>
      </c>
    </row>
    <row r="13" spans="1:5" x14ac:dyDescent="0.25">
      <c r="A13" s="15" t="s">
        <v>191</v>
      </c>
      <c r="B13" s="6" t="s">
        <v>192</v>
      </c>
      <c r="C13" s="16">
        <v>20</v>
      </c>
      <c r="D13" s="16">
        <v>100</v>
      </c>
      <c r="E13" s="16">
        <v>62.5</v>
      </c>
    </row>
    <row r="14" spans="1:5" x14ac:dyDescent="0.25">
      <c r="A14" s="15" t="s">
        <v>191</v>
      </c>
      <c r="B14" s="6" t="s">
        <v>193</v>
      </c>
      <c r="C14" s="16">
        <v>20</v>
      </c>
      <c r="D14" s="16">
        <v>65</v>
      </c>
      <c r="E14" s="16">
        <v>62.5</v>
      </c>
    </row>
    <row r="15" spans="1:5" x14ac:dyDescent="0.25">
      <c r="A15" s="15" t="s">
        <v>191</v>
      </c>
      <c r="B15" s="6" t="s">
        <v>194</v>
      </c>
      <c r="C15" s="16">
        <v>20</v>
      </c>
      <c r="D15" s="16">
        <v>72</v>
      </c>
      <c r="E15" s="16">
        <v>62.5</v>
      </c>
    </row>
    <row r="16" spans="1:5" x14ac:dyDescent="0.25">
      <c r="A16" s="15" t="s">
        <v>209</v>
      </c>
      <c r="B16" s="6" t="s">
        <v>210</v>
      </c>
      <c r="C16" s="16">
        <v>20</v>
      </c>
      <c r="D16" s="16">
        <v>5</v>
      </c>
      <c r="E16" s="16">
        <v>84.95</v>
      </c>
    </row>
    <row r="17" spans="1:5" x14ac:dyDescent="0.25">
      <c r="A17" s="15" t="s">
        <v>209</v>
      </c>
      <c r="B17" s="6" t="s">
        <v>211</v>
      </c>
      <c r="C17" s="16">
        <v>20</v>
      </c>
      <c r="D17" s="16">
        <v>4</v>
      </c>
      <c r="E17" s="16">
        <v>84.95</v>
      </c>
    </row>
    <row r="18" spans="1:5" x14ac:dyDescent="0.25">
      <c r="A18" s="15" t="s">
        <v>209</v>
      </c>
      <c r="B18" s="6" t="s">
        <v>212</v>
      </c>
      <c r="C18" s="16">
        <v>20</v>
      </c>
      <c r="D18" s="16">
        <v>10</v>
      </c>
      <c r="E18" s="16">
        <v>84.95</v>
      </c>
    </row>
    <row r="19" spans="1:5" x14ac:dyDescent="0.25">
      <c r="A19" s="15" t="s">
        <v>201</v>
      </c>
      <c r="B19" s="6" t="s">
        <v>202</v>
      </c>
      <c r="C19" s="16">
        <v>20</v>
      </c>
      <c r="D19" s="16">
        <f>39+13+39</f>
        <v>91</v>
      </c>
      <c r="E19" s="16">
        <v>120</v>
      </c>
    </row>
    <row r="20" spans="1:5" x14ac:dyDescent="0.25">
      <c r="A20" s="15" t="s">
        <v>201</v>
      </c>
      <c r="B20" s="6" t="s">
        <v>202</v>
      </c>
      <c r="C20" s="16">
        <v>50</v>
      </c>
      <c r="D20" s="16">
        <v>34</v>
      </c>
      <c r="E20" s="16">
        <v>300</v>
      </c>
    </row>
    <row r="21" spans="1:5" x14ac:dyDescent="0.25">
      <c r="A21" s="15" t="s">
        <v>201</v>
      </c>
      <c r="B21" s="6" t="s">
        <v>203</v>
      </c>
      <c r="C21" s="16">
        <v>20</v>
      </c>
      <c r="D21" s="16">
        <f>65+65+19</f>
        <v>149</v>
      </c>
      <c r="E21" s="16">
        <v>120</v>
      </c>
    </row>
    <row r="22" spans="1:5" x14ac:dyDescent="0.25">
      <c r="A22" s="15" t="s">
        <v>201</v>
      </c>
      <c r="B22" s="6" t="s">
        <v>203</v>
      </c>
      <c r="C22" s="16">
        <v>50</v>
      </c>
      <c r="D22" s="16">
        <v>54</v>
      </c>
      <c r="E22" s="16">
        <v>300</v>
      </c>
    </row>
    <row r="23" spans="1:5" x14ac:dyDescent="0.25">
      <c r="A23" s="15" t="s">
        <v>201</v>
      </c>
      <c r="B23" s="6" t="s">
        <v>204</v>
      </c>
      <c r="C23" s="16">
        <v>20</v>
      </c>
      <c r="D23" s="16">
        <f>28+28+11</f>
        <v>67</v>
      </c>
      <c r="E23" s="16">
        <v>120</v>
      </c>
    </row>
    <row r="24" spans="1:5" x14ac:dyDescent="0.25">
      <c r="A24" s="15" t="s">
        <v>201</v>
      </c>
      <c r="B24" s="6" t="s">
        <v>204</v>
      </c>
      <c r="C24" s="16">
        <v>50</v>
      </c>
      <c r="D24" s="16">
        <v>4</v>
      </c>
      <c r="E24" s="16">
        <v>300</v>
      </c>
    </row>
    <row r="25" spans="1:5" x14ac:dyDescent="0.25">
      <c r="A25" s="15" t="s">
        <v>201</v>
      </c>
      <c r="B25" s="6" t="s">
        <v>213</v>
      </c>
      <c r="C25" s="16">
        <v>20</v>
      </c>
      <c r="D25" s="16">
        <f>31+31+57</f>
        <v>119</v>
      </c>
      <c r="E25" s="16">
        <v>120</v>
      </c>
    </row>
    <row r="26" spans="1:5" x14ac:dyDescent="0.25">
      <c r="A26" s="15" t="s">
        <v>201</v>
      </c>
      <c r="B26" s="6" t="s">
        <v>213</v>
      </c>
      <c r="C26" s="16">
        <v>50</v>
      </c>
      <c r="D26" s="16">
        <v>4</v>
      </c>
      <c r="E26" s="16">
        <v>300</v>
      </c>
    </row>
    <row r="27" spans="1:5" x14ac:dyDescent="0.25">
      <c r="A27" s="15" t="s">
        <v>981</v>
      </c>
      <c r="B27" s="6" t="s">
        <v>987</v>
      </c>
      <c r="C27" s="16">
        <v>20</v>
      </c>
      <c r="D27" s="16">
        <v>8</v>
      </c>
      <c r="E27" s="16">
        <f>1200/8</f>
        <v>150</v>
      </c>
    </row>
    <row r="28" spans="1:5" x14ac:dyDescent="0.25">
      <c r="A28" s="15" t="s">
        <v>205</v>
      </c>
      <c r="B28" s="6" t="s">
        <v>206</v>
      </c>
      <c r="C28" s="16">
        <v>20</v>
      </c>
      <c r="D28" s="16">
        <v>263</v>
      </c>
      <c r="E28" s="16">
        <v>57</v>
      </c>
    </row>
    <row r="29" spans="1:5" x14ac:dyDescent="0.25">
      <c r="A29" s="15" t="s">
        <v>207</v>
      </c>
      <c r="B29" s="6" t="s">
        <v>208</v>
      </c>
      <c r="C29" s="16">
        <v>10</v>
      </c>
      <c r="D29" s="16">
        <v>168</v>
      </c>
      <c r="E29" s="16">
        <v>42.75</v>
      </c>
    </row>
    <row r="30" spans="1:5" x14ac:dyDescent="0.25">
      <c r="A30" s="15"/>
      <c r="B30" s="6"/>
      <c r="C30" s="16"/>
      <c r="D30" s="16"/>
      <c r="E30" s="16"/>
    </row>
    <row r="31" spans="1:5" x14ac:dyDescent="0.25">
      <c r="A31" s="15"/>
      <c r="B31" s="6"/>
      <c r="C31" s="16"/>
      <c r="D31" s="16"/>
      <c r="E31" s="16"/>
    </row>
    <row r="32" spans="1:5" x14ac:dyDescent="0.25">
      <c r="A32" s="15"/>
      <c r="B32" s="6"/>
      <c r="C32" s="16"/>
      <c r="D32" s="16"/>
      <c r="E32" s="16"/>
    </row>
    <row r="33" spans="1:5" x14ac:dyDescent="0.25">
      <c r="A33" s="15"/>
      <c r="B33" s="6"/>
      <c r="C33" s="16"/>
      <c r="D33" s="16"/>
      <c r="E33" s="16"/>
    </row>
    <row r="34" spans="1:5" x14ac:dyDescent="0.25">
      <c r="A34" s="15"/>
      <c r="B34" s="6"/>
      <c r="C34" s="16"/>
      <c r="D34" s="16"/>
      <c r="E34" s="16"/>
    </row>
    <row r="35" spans="1:5" x14ac:dyDescent="0.25">
      <c r="A35" s="15"/>
      <c r="B35" s="6"/>
      <c r="C35" s="16"/>
      <c r="D35" s="16"/>
      <c r="E35" s="16"/>
    </row>
    <row r="36" spans="1:5" x14ac:dyDescent="0.25">
      <c r="A36" s="15"/>
      <c r="B36" s="6"/>
      <c r="C36" s="16"/>
      <c r="D36" s="16"/>
      <c r="E36" s="16"/>
    </row>
    <row r="37" spans="1:5" x14ac:dyDescent="0.25">
      <c r="A37" s="15"/>
      <c r="B37" s="6"/>
      <c r="C37" s="16"/>
      <c r="D37" s="16"/>
      <c r="E37" s="16"/>
    </row>
    <row r="38" spans="1:5" x14ac:dyDescent="0.25">
      <c r="A38" s="15"/>
      <c r="B38" s="6"/>
      <c r="C38" s="16"/>
      <c r="D38" s="16"/>
      <c r="E38" s="16"/>
    </row>
    <row r="39" spans="1:5" x14ac:dyDescent="0.25">
      <c r="A39" s="15"/>
      <c r="B39" s="6"/>
      <c r="C39" s="16"/>
      <c r="D39" s="16"/>
      <c r="E39" s="16"/>
    </row>
    <row r="40" spans="1:5" x14ac:dyDescent="0.25">
      <c r="A40" s="15"/>
      <c r="B40" s="6"/>
      <c r="C40" s="16"/>
      <c r="D40" s="16"/>
      <c r="E40" s="16"/>
    </row>
    <row r="41" spans="1:5" x14ac:dyDescent="0.25">
      <c r="A41" s="15"/>
      <c r="B41" s="6"/>
      <c r="C41" s="16"/>
      <c r="D41" s="16"/>
      <c r="E41" s="16"/>
    </row>
    <row r="42" spans="1:5" x14ac:dyDescent="0.25">
      <c r="A42" s="15"/>
      <c r="B42" s="6"/>
      <c r="C42" s="16"/>
      <c r="D42" s="16"/>
      <c r="E42" s="16"/>
    </row>
    <row r="43" spans="1:5" x14ac:dyDescent="0.25">
      <c r="A43" s="15"/>
      <c r="B43" s="6"/>
      <c r="C43" s="16"/>
      <c r="D43" s="16"/>
      <c r="E43" s="16"/>
    </row>
  </sheetData>
  <sortState xmlns:xlrd2="http://schemas.microsoft.com/office/spreadsheetml/2017/richdata2" ref="A6:E29">
    <sortCondition ref="A5:A2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106329-9bbb-49eb-b32b-6355cff7f379" xsi:nil="true"/>
    <lcf76f155ced4ddcb4097134ff3c332f xmlns="481b176e-4748-40e6-b4c2-5c78c09fb5f8">
      <Terms xmlns="http://schemas.microsoft.com/office/infopath/2007/PartnerControls"/>
    </lcf76f155ced4ddcb4097134ff3c332f>
    <Subactivity xmlns="4f9c820c-e7e2-444d-97ee-45f2b3485c1d">NA</Subactivity>
    <BusinessValue xmlns="4f9c820c-e7e2-444d-97ee-45f2b3485c1d" xsi:nil="true"/>
    <PRADateDisposal xmlns="4f9c820c-e7e2-444d-97ee-45f2b3485c1d" xsi:nil="true"/>
    <KeyWords xmlns="15ffb055-6eb4-45a1-bc20-bf2ac0d420da" xsi:nil="true"/>
    <SecurityClassification xmlns="15ffb055-6eb4-45a1-bc20-bf2ac0d420da">UNCLASSIFIED</SecurityClassification>
    <PRADate3 xmlns="4f9c820c-e7e2-444d-97ee-45f2b3485c1d" xsi:nil="true"/>
    <PRAText5 xmlns="4f9c820c-e7e2-444d-97ee-45f2b3485c1d" xsi:nil="true"/>
    <Level2 xmlns="c91a514c-9034-4fa3-897a-8352025b26ed">NA</Level2>
    <CopiedFrom xmlns="184c05c4-c568-455d-94a4-7e009b164348" xsi:nil="true"/>
    <Activity xmlns="4f9c820c-e7e2-444d-97ee-45f2b3485c1d">Tobacco and Vaping Products Regulators</Activity>
    <AggregationStatus xmlns="4f9c820c-e7e2-444d-97ee-45f2b3485c1d">Normal</AggregationStatus>
    <OverrideLabel xmlns="d0b61010-d6f3-4072-b934-7bbb13e97771" xsi:nil="true"/>
    <CategoryValue xmlns="4f9c820c-e7e2-444d-97ee-45f2b3485c1d">Tobacco Returns 2023</CategoryValue>
    <PRADate2 xmlns="4f9c820c-e7e2-444d-97ee-45f2b3485c1d" xsi:nil="true"/>
    <zLegacyJSON xmlns="184c05c4-c568-455d-94a4-7e009b164348" xsi:nil="true"/>
    <Case xmlns="4f9c820c-e7e2-444d-97ee-45f2b3485c1d">NA</Case>
    <PRAText1 xmlns="4f9c820c-e7e2-444d-97ee-45f2b3485c1d" xsi:nil="true"/>
    <PRAText4 xmlns="4f9c820c-e7e2-444d-97ee-45f2b3485c1d" xsi:nil="true"/>
    <Level3 xmlns="c91a514c-9034-4fa3-897a-8352025b26ed">NA</Level3>
    <Endorsements xmlns="184c05c4-c568-455d-94a4-7e009b164348">N/A</Endorsements>
    <Team xmlns="c91a514c-9034-4fa3-897a-8352025b26ed">Tobacco and Vaping Products Regulators</Team>
    <Project xmlns="4f9c820c-e7e2-444d-97ee-45f2b3485c1d">NA</Project>
    <HasNHI xmlns="184c05c4-c568-455d-94a4-7e009b164348">false</HasNHI>
    <FunctionGroup xmlns="4f9c820c-e7e2-444d-97ee-45f2b3485c1d">Implement and Enforce Legislation</FunctionGroup>
    <Function xmlns="4f9c820c-e7e2-444d-97ee-45f2b3485c1d">Regulatory Functions</Function>
    <SetLabel xmlns="d0b61010-d6f3-4072-b934-7bbb13e97771">Del10M</SetLabel>
    <RelatedPeople xmlns="4f9c820c-e7e2-444d-97ee-45f2b3485c1d">
      <UserInfo>
        <DisplayName/>
        <AccountId xsi:nil="true"/>
        <AccountType/>
      </UserInfo>
    </RelatedPeople>
    <AggregationNarrative xmlns="725c79e5-42ce-4aa0-ac78-b6418001f0d2" xsi:nil="true"/>
    <Channel xmlns="c91a514c-9034-4fa3-897a-8352025b26ed">Tobacco Regulation</Channel>
    <PRAType xmlns="4f9c820c-e7e2-444d-97ee-45f2b3485c1d">Doc</PRAType>
    <PRADate1 xmlns="4f9c820c-e7e2-444d-97ee-45f2b3485c1d" xsi:nil="true"/>
    <DocumentType xmlns="4f9c820c-e7e2-444d-97ee-45f2b3485c1d" xsi:nil="true"/>
    <PRAText3 xmlns="4f9c820c-e7e2-444d-97ee-45f2b3485c1d" xsi:nil="true"/>
    <zLegacy xmlns="184c05c4-c568-455d-94a4-7e009b164348" xsi:nil="true"/>
    <Year xmlns="c91a514c-9034-4fa3-897a-8352025b26ed">NA</Year>
    <Narrative xmlns="4f9c820c-e7e2-444d-97ee-45f2b3485c1d" xsi:nil="true"/>
    <CategoryName xmlns="4f9c820c-e7e2-444d-97ee-45f2b3485c1d">Annual Returns</CategoryName>
    <PRADateTrigger xmlns="4f9c820c-e7e2-444d-97ee-45f2b3485c1d" xsi:nil="true"/>
    <PRAText2 xmlns="4f9c820c-e7e2-444d-97ee-45f2b3485c1d" xsi:nil="true"/>
    <zLegacyID xmlns="184c05c4-c568-455d-94a4-7e009b164348" xsi:nil="true"/>
    <_dlc_DocId xmlns="94106329-9bbb-49eb-b32b-6355cff7f379">MOHECM-1059432013-9358</_dlc_DocId>
    <_dlc_DocIdUrl xmlns="94106329-9bbb-49eb-b32b-6355cff7f379">
      <Url>https://mohgovtnz.sharepoint.com/sites/moh-ecm-TVPReg/_layouts/15/DocIdRedir.aspx?ID=MOHECM-1059432013-9358</Url>
      <Description>MOHECM-1059432013-9358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06B508744A2AC848B695886D527F4BAE" ma:contentTypeVersion="389" ma:contentTypeDescription="Create a new document." ma:contentTypeScope="" ma:versionID="efe9a8ae7c909ea54b1b4eea6aa5c4c4">
  <xsd:schema xmlns:xsd="http://www.w3.org/2001/XMLSchema" xmlns:xs="http://www.w3.org/2001/XMLSchema" xmlns:p="http://schemas.microsoft.com/office/2006/metadata/properties" xmlns:ns2="94106329-9bbb-49eb-b32b-6355cff7f379" xmlns:ns3="4f9c820c-e7e2-444d-97ee-45f2b3485c1d" xmlns:ns4="15ffb055-6eb4-45a1-bc20-bf2ac0d420da" xmlns:ns5="725c79e5-42ce-4aa0-ac78-b6418001f0d2" xmlns:ns6="c91a514c-9034-4fa3-897a-8352025b26ed" xmlns:ns7="d0b61010-d6f3-4072-b934-7bbb13e97771" xmlns:ns8="184c05c4-c568-455d-94a4-7e009b164348" xmlns:ns9="481b176e-4748-40e6-b4c2-5c78c09fb5f8" targetNamespace="http://schemas.microsoft.com/office/2006/metadata/properties" ma:root="true" ma:fieldsID="7d874f071bafe982b4bff0cfb5c596c7" ns2:_="" ns3:_="" ns4:_="" ns5:_="" ns6:_="" ns7:_="" ns8:_="" ns9:_="">
    <xsd:import namespace="94106329-9bbb-49eb-b32b-6355cff7f379"/>
    <xsd:import namespace="4f9c820c-e7e2-444d-97ee-45f2b3485c1d"/>
    <xsd:import namespace="15ffb055-6eb4-45a1-bc20-bf2ac0d420da"/>
    <xsd:import namespace="725c79e5-42ce-4aa0-ac78-b6418001f0d2"/>
    <xsd:import namespace="c91a514c-9034-4fa3-897a-8352025b26ed"/>
    <xsd:import namespace="d0b61010-d6f3-4072-b934-7bbb13e97771"/>
    <xsd:import namespace="184c05c4-c568-455d-94a4-7e009b164348"/>
    <xsd:import namespace="481b176e-4748-40e6-b4c2-5c78c09fb5f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Type" minOccurs="0"/>
                <xsd:element ref="ns4:KeyWords" minOccurs="0"/>
                <xsd:element ref="ns3:Narrative" minOccurs="0"/>
                <xsd:element ref="ns4:SecurityClassification" minOccurs="0"/>
                <xsd:element ref="ns3:Subactivity" minOccurs="0"/>
                <xsd:element ref="ns3:Case" minOccurs="0"/>
                <xsd:element ref="ns3:RelatedPeople" minOccurs="0"/>
                <xsd:element ref="ns3:CategoryName" minOccurs="0"/>
                <xsd:element ref="ns3:CategoryValue" minOccurs="0"/>
                <xsd:element ref="ns3:BusinessValue" minOccurs="0"/>
                <xsd:element ref="ns3:FunctionGroup" minOccurs="0"/>
                <xsd:element ref="ns3:Function" minOccurs="0"/>
                <xsd:element ref="ns3:PRAType" minOccurs="0"/>
                <xsd:element ref="ns3:PRADate1" minOccurs="0"/>
                <xsd:element ref="ns3:PRADate2" minOccurs="0"/>
                <xsd:element ref="ns3:PRADate3" minOccurs="0"/>
                <xsd:element ref="ns3:PRADateDisposal" minOccurs="0"/>
                <xsd:element ref="ns3:PRADateTrigger" minOccurs="0"/>
                <xsd:element ref="ns3:PRAText1" minOccurs="0"/>
                <xsd:element ref="ns3:PRAText2" minOccurs="0"/>
                <xsd:element ref="ns3:PRAText3" minOccurs="0"/>
                <xsd:element ref="ns3:PRAText4" minOccurs="0"/>
                <xsd:element ref="ns3:PRAText5" minOccurs="0"/>
                <xsd:element ref="ns3:AggregationStatus" minOccurs="0"/>
                <xsd:element ref="ns3:Project" minOccurs="0"/>
                <xsd:element ref="ns3:Activity" minOccurs="0"/>
                <xsd:element ref="ns5:AggregationNarrative" minOccurs="0"/>
                <xsd:element ref="ns6:Channel" minOccurs="0"/>
                <xsd:element ref="ns6:Team" minOccurs="0"/>
                <xsd:element ref="ns6:Level2" minOccurs="0"/>
                <xsd:element ref="ns6:Level3" minOccurs="0"/>
                <xsd:element ref="ns6:Year" minOccurs="0"/>
                <xsd:element ref="ns7:SetLabel" minOccurs="0"/>
                <xsd:element ref="ns7:OverrideLabel" minOccurs="0"/>
                <xsd:element ref="ns8:HasNHI" minOccurs="0"/>
                <xsd:element ref="ns8:zLegacy" minOccurs="0"/>
                <xsd:element ref="ns8:zLegacyID" minOccurs="0"/>
                <xsd:element ref="ns8:zLegacyJSON" minOccurs="0"/>
                <xsd:element ref="ns8:CopiedFrom" minOccurs="0"/>
                <xsd:element ref="ns8:Endorsements" minOccurs="0"/>
                <xsd:element ref="ns9:MediaServiceMetadata" minOccurs="0"/>
                <xsd:element ref="ns9:MediaServiceFastMetadata" minOccurs="0"/>
                <xsd:element ref="ns2:SharedWithUsers" minOccurs="0"/>
                <xsd:element ref="ns2:SharedWithDetails" minOccurs="0"/>
                <xsd:element ref="ns9:lcf76f155ced4ddcb4097134ff3c332f" minOccurs="0"/>
                <xsd:element ref="ns2:TaxCatchAll" minOccurs="0"/>
                <xsd:element ref="ns9:MediaServiceOCR" minOccurs="0"/>
                <xsd:element ref="ns9:MediaServiceGenerationTime" minOccurs="0"/>
                <xsd:element ref="ns9:MediaServiceEventHashCode" minOccurs="0"/>
                <xsd:element ref="ns9:MediaServiceDateTaken" minOccurs="0"/>
                <xsd:element ref="ns9:MediaServiceLocation" minOccurs="0"/>
                <xsd:element ref="ns9:MediaServiceObjectDetectorVersions" minOccurs="0"/>
                <xsd:element ref="ns9:MediaLengthInSeconds" minOccurs="0"/>
                <xsd:element ref="ns9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06329-9bbb-49eb-b32b-6355cff7f3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5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57" nillable="true" ma:displayName="Taxonomy Catch All Column" ma:hidden="true" ma:list="{7ce338f9-a46b-4823-b24d-640c44a6af96}" ma:internalName="TaxCatchAll" ma:showField="CatchAllData" ma:web="94106329-9bbb-49eb-b32b-6355cff7f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c820c-e7e2-444d-97ee-45f2b3485c1d" elementFormDefault="qualified">
    <xsd:import namespace="http://schemas.microsoft.com/office/2006/documentManagement/types"/>
    <xsd:import namespace="http://schemas.microsoft.com/office/infopath/2007/PartnerControls"/>
    <xsd:element name="DocumentType" ma:index="11" nillable="true" ma:displayName="Document Type" ma:format="Dropdown" ma:hidden="true" ma:internalName="DocumentType" ma:readOnly="false">
      <xsd:simpleType>
        <xsd:restriction base="dms:Choice">
          <xsd:enumeration value="APPLICATION, certificate, consent related"/>
          <xsd:enumeration value="CONTRACT, Variation, Agreement"/>
          <xsd:enumeration value="CORRESPONDENCE"/>
          <xsd:enumeration value="DRAWING, Plan, Map"/>
          <xsd:enumeration value="EMPLOYMENT related"/>
          <xsd:enumeration value="FINANCIAL related"/>
          <xsd:enumeration value="KNOWLEDGE article"/>
          <xsd:enumeration value="MEETING related"/>
          <xsd:enumeration value="MEMO, Filenote, Email"/>
          <xsd:enumeration value="MODEL, Calculation, Working"/>
          <xsd:enumeration value="PHOTO, Image or Multi-media"/>
          <xsd:enumeration value="PRESENTATION"/>
          <xsd:enumeration value="PUBLICATION material"/>
          <xsd:enumeration value="PURCHASING related"/>
          <xsd:enumeration value="REPORT, or planning related"/>
          <xsd:enumeration value="RULES, Policy, Bylaw, procedure"/>
          <xsd:enumeration value="SERVICE REQUEST related"/>
          <xsd:enumeration value="SPECIFICATION or standard"/>
          <xsd:enumeration value="SUPPLIER PRODUCT Info"/>
          <xsd:enumeration value="TEMPLATE, Checklist or Form"/>
        </xsd:restriction>
      </xsd:simpleType>
    </xsd:element>
    <xsd:element name="Narrative" ma:index="13" nillable="true" ma:displayName="Narrative" ma:hidden="true" ma:internalName="Narrative" ma:readOnly="false">
      <xsd:simpleType>
        <xsd:restriction base="dms:Note"/>
      </xsd:simpleType>
    </xsd:element>
    <xsd:element name="Subactivity" ma:index="15" nillable="true" ma:displayName="Subactivity" ma:default="NA" ma:hidden="true" ma:internalName="Subactivity" ma:readOnly="false">
      <xsd:simpleType>
        <xsd:restriction base="dms:Text">
          <xsd:maxLength value="255"/>
        </xsd:restriction>
      </xsd:simpleType>
    </xsd:element>
    <xsd:element name="Case" ma:index="16" nillable="true" ma:displayName="Case" ma:default="NA" ma:hidden="true" ma:internalName="Case" ma:readOnly="false">
      <xsd:simpleType>
        <xsd:restriction base="dms:Text">
          <xsd:maxLength value="255"/>
        </xsd:restriction>
      </xsd:simpleType>
    </xsd:element>
    <xsd:element name="RelatedPeople" ma:index="17" nillable="true" ma:displayName="Related People" ma:hidden="true" ma:list="UserInfo" ma:SharePointGroup="0" ma:internalName="RelatedPeopl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ategoryName" ma:index="18" nillable="true" ma:displayName="Category 1" ma:default="NA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9" nillable="true" ma:displayName="Category 2" ma:default="NA" ma:hidden="true" ma:internalName="CategoryValue" ma:readOnly="false">
      <xsd:simpleType>
        <xsd:restriction base="dms:Text">
          <xsd:maxLength value="255"/>
        </xsd:restriction>
      </xsd:simpleType>
    </xsd:element>
    <xsd:element name="BusinessValue" ma:index="20" nillable="true" ma:displayName="Business Value" ma:hidden="true" ma:internalName="BusinessValue" ma:readOnly="false">
      <xsd:simpleType>
        <xsd:restriction base="dms:Text">
          <xsd:maxLength value="255"/>
        </xsd:restriction>
      </xsd:simpleType>
    </xsd:element>
    <xsd:element name="FunctionGroup" ma:index="21" nillable="true" ma:displayName="Function Group" ma:default="Implement and Enforce Legislation" ma:hidden="true" ma:internalName="FunctionGroup" ma:readOnly="false">
      <xsd:simpleType>
        <xsd:restriction base="dms:Text">
          <xsd:maxLength value="255"/>
        </xsd:restriction>
      </xsd:simpleType>
    </xsd:element>
    <xsd:element name="Function" ma:index="22" nillable="true" ma:displayName="Function" ma:default="Regulatory Functions" ma:hidden="true" ma:internalName="Function" ma:readOnly="false">
      <xsd:simpleType>
        <xsd:restriction base="dms:Text">
          <xsd:maxLength value="255"/>
        </xsd:restriction>
      </xsd:simpleType>
    </xsd:element>
    <xsd:element name="PRAType" ma:index="23" nillable="true" ma:displayName="PRA Type" ma:default="Doc" ma:hidden="true" ma:indexed="true" ma:internalName="PRAType" ma:readOnly="false">
      <xsd:simpleType>
        <xsd:restriction base="dms:Text">
          <xsd:maxLength value="255"/>
        </xsd:restriction>
      </xsd:simpleType>
    </xsd:element>
    <xsd:element name="PRADate1" ma:index="24" nillable="true" ma:displayName="PRA Date 1" ma:format="DateOnly" ma:hidden="true" ma:internalName="PRADate1" ma:readOnly="false">
      <xsd:simpleType>
        <xsd:restriction base="dms:DateTime"/>
      </xsd:simpleType>
    </xsd:element>
    <xsd:element name="PRADate2" ma:index="25" nillable="true" ma:displayName="PRA Date 2" ma:format="DateOnly" ma:hidden="true" ma:internalName="PRADate2" ma:readOnly="false">
      <xsd:simpleType>
        <xsd:restriction base="dms:DateTime"/>
      </xsd:simpleType>
    </xsd:element>
    <xsd:element name="PRADate3" ma:index="26" nillable="true" ma:displayName="PRA Date 3" ma:format="DateOnly" ma:hidden="true" ma:internalName="PRADate3" ma:readOnly="false">
      <xsd:simpleType>
        <xsd:restriction base="dms:DateTime"/>
      </xsd:simpleType>
    </xsd:element>
    <xsd:element name="PRADateDisposal" ma:index="27" nillable="true" ma:displayName="PRA Date Disposal" ma:format="DateOnly" ma:hidden="true" ma:internalName="PRADateDisposal" ma:readOnly="false">
      <xsd:simpleType>
        <xsd:restriction base="dms:DateTime"/>
      </xsd:simpleType>
    </xsd:element>
    <xsd:element name="PRADateTrigger" ma:index="28" nillable="true" ma:displayName="PRA Date Trigger" ma:format="DateOnly" ma:hidden="true" ma:internalName="PRADateTrigger" ma:readOnly="false">
      <xsd:simpleType>
        <xsd:restriction base="dms:DateTime"/>
      </xsd:simpleType>
    </xsd:element>
    <xsd:element name="PRAText1" ma:index="29" nillable="true" ma:displayName="PRA Text 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30" nillable="true" ma:displayName="PRA Text 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31" nillable="true" ma:displayName="PRA Text 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32" nillable="true" ma:displayName="PRA Text 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33" nillable="true" ma:displayName="PRA Text 5" ma:hidden="true" ma:internalName="PRAText5" ma:readOnly="false">
      <xsd:simpleType>
        <xsd:restriction base="dms:Text">
          <xsd:maxLength value="255"/>
        </xsd:restriction>
      </xsd:simpleType>
    </xsd:element>
    <xsd:element name="AggregationStatus" ma:index="34" nillable="true" ma:displayName="Aggregation Status" ma:default="Normal" ma:format="Dropdown" ma:hidden="true" ma:internalName="AggregationStatus" ma:readOnly="false">
      <xsd:simpleType>
        <xsd:union memberTypes="dms:Text">
          <xsd:simpleType>
            <xsd:restriction base="dms:Choice">
              <xsd:enumeration value="Delete Soon"/>
              <xsd:enumeration value="Transfer Soon"/>
              <xsd:enumeration value="Appraise Soon"/>
              <xsd:enumeration value="Delete"/>
              <xsd:enumeration value="Transfer"/>
              <xsd:enumeration value="Appraise"/>
              <xsd:enumeration value="Hold"/>
              <xsd:enumeration value="Normal"/>
              <xsd:enumeration value="Archive"/>
            </xsd:restriction>
          </xsd:simpleType>
        </xsd:union>
      </xsd:simpleType>
    </xsd:element>
    <xsd:element name="Project" ma:index="35" nillable="true" ma:displayName="Project" ma:default="NA" ma:hidden="true" ma:internalName="Project" ma:readOnly="false">
      <xsd:simpleType>
        <xsd:restriction base="dms:Text">
          <xsd:maxLength value="255"/>
        </xsd:restriction>
      </xsd:simpleType>
    </xsd:element>
    <xsd:element name="Activity" ma:index="36" nillable="true" ma:displayName="Activity" ma:default="Tobacco and Vaping Products Regulators" ma:hidden="true" ma:internalName="Activit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fb055-6eb4-45a1-bc20-bf2ac0d420da" elementFormDefault="qualified">
    <xsd:import namespace="http://schemas.microsoft.com/office/2006/documentManagement/types"/>
    <xsd:import namespace="http://schemas.microsoft.com/office/infopath/2007/PartnerControls"/>
    <xsd:element name="KeyWords" ma:index="12" nillable="true" ma:displayName="Key Words" ma:hidden="true" ma:internalName="KeyWords" ma:readOnly="false">
      <xsd:simpleType>
        <xsd:restriction base="dms:Note"/>
      </xsd:simpleType>
    </xsd:element>
    <xsd:element name="SecurityClassification" ma:index="14" nillable="true" ma:displayName="Security Classification" ma:default="UNCLASSIFIED" ma:format="Dropdown" ma:internalName="SecurityClassification" ma:readOnly="false">
      <xsd:simpleType>
        <xsd:restriction base="dms:Choice">
          <xsd:enumeration value="UNCLASSIFIED"/>
          <xsd:enumeration value="IN-CONFIDENCE"/>
          <xsd:enumeration value="SENSITIVE"/>
          <xsd:enumeration value="RESTRIC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5c79e5-42ce-4aa0-ac78-b6418001f0d2" elementFormDefault="qualified">
    <xsd:import namespace="http://schemas.microsoft.com/office/2006/documentManagement/types"/>
    <xsd:import namespace="http://schemas.microsoft.com/office/infopath/2007/PartnerControls"/>
    <xsd:element name="AggregationNarrative" ma:index="37" nillable="true" ma:displayName="Aggregation Narrative" ma:hidden="true" ma:internalName="AggregationNarrativ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a514c-9034-4fa3-897a-8352025b26ed" elementFormDefault="qualified">
    <xsd:import namespace="http://schemas.microsoft.com/office/2006/documentManagement/types"/>
    <xsd:import namespace="http://schemas.microsoft.com/office/infopath/2007/PartnerControls"/>
    <xsd:element name="Channel" ma:index="38" nillable="true" ma:displayName="Channel" ma:default="NA" ma:hidden="true" ma:internalName="Channel" ma:readOnly="false">
      <xsd:simpleType>
        <xsd:restriction base="dms:Text">
          <xsd:maxLength value="255"/>
        </xsd:restriction>
      </xsd:simpleType>
    </xsd:element>
    <xsd:element name="Team" ma:index="39" nillable="true" ma:displayName="Team" ma:default="Tobacco and Vaping Products Regulators" ma:hidden="true" ma:internalName="Team" ma:readOnly="false">
      <xsd:simpleType>
        <xsd:restriction base="dms:Text">
          <xsd:maxLength value="255"/>
        </xsd:restriction>
      </xsd:simpleType>
    </xsd:element>
    <xsd:element name="Level2" ma:index="40" nillable="true" ma:displayName="Level 2" ma:default="NA" ma:hidden="true" ma:internalName="Level2" ma:readOnly="false">
      <xsd:simpleType>
        <xsd:restriction base="dms:Text">
          <xsd:maxLength value="255"/>
        </xsd:restriction>
      </xsd:simpleType>
    </xsd:element>
    <xsd:element name="Level3" ma:index="41" nillable="true" ma:displayName="Level 3" ma:default="NA" ma:hidden="true" ma:internalName="Level3" ma:readOnly="false">
      <xsd:simpleType>
        <xsd:restriction base="dms:Text">
          <xsd:maxLength value="255"/>
        </xsd:restriction>
      </xsd:simpleType>
    </xsd:element>
    <xsd:element name="Year" ma:index="42" nillable="true" ma:displayName="Year" ma:default="NA" ma:hidden="true" ma:internalName="Yea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61010-d6f3-4072-b934-7bbb13e97771" elementFormDefault="qualified">
    <xsd:import namespace="http://schemas.microsoft.com/office/2006/documentManagement/types"/>
    <xsd:import namespace="http://schemas.microsoft.com/office/infopath/2007/PartnerControls"/>
    <xsd:element name="SetLabel" ma:index="43" nillable="true" ma:displayName="Set Label" ma:default="Del10M" ma:hidden="true" ma:indexed="true" ma:internalName="SetLabel" ma:readOnly="false">
      <xsd:simpleType>
        <xsd:restriction base="dms:Text">
          <xsd:maxLength value="255"/>
        </xsd:restriction>
      </xsd:simpleType>
    </xsd:element>
    <xsd:element name="OverrideLabel" ma:index="44" nillable="true" ma:displayName="Override Label" ma:hidden="true" ma:indexed="true" ma:internalName="OverrideLabel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4c05c4-c568-455d-94a4-7e009b164348" elementFormDefault="qualified">
    <xsd:import namespace="http://schemas.microsoft.com/office/2006/documentManagement/types"/>
    <xsd:import namespace="http://schemas.microsoft.com/office/infopath/2007/PartnerControls"/>
    <xsd:element name="HasNHI" ma:index="45" nillable="true" ma:displayName="Has NHI" ma:default="0" ma:internalName="HasNHI" ma:readOnly="false">
      <xsd:simpleType>
        <xsd:restriction base="dms:Boolean"/>
      </xsd:simpleType>
    </xsd:element>
    <xsd:element name="zLegacy" ma:index="46" nillable="true" ma:displayName="zLegacy" ma:hidden="true" ma:internalName="zLegacy" ma:readOnly="false">
      <xsd:simpleType>
        <xsd:restriction base="dms:Note"/>
      </xsd:simpleType>
    </xsd:element>
    <xsd:element name="zLegacyID" ma:index="47" nillable="true" ma:displayName="zLegacyID" ma:hidden="true" ma:indexed="true" ma:internalName="zLegacyID" ma:readOnly="false">
      <xsd:simpleType>
        <xsd:restriction base="dms:Text">
          <xsd:maxLength value="255"/>
        </xsd:restriction>
      </xsd:simpleType>
    </xsd:element>
    <xsd:element name="zLegacyJSON" ma:index="48" nillable="true" ma:displayName="zLegacyJSON" ma:hidden="true" ma:internalName="zLegacyJSON" ma:readOnly="false">
      <xsd:simpleType>
        <xsd:restriction base="dms:Note"/>
      </xsd:simpleType>
    </xsd:element>
    <xsd:element name="CopiedFrom" ma:index="49" nillable="true" ma:displayName="Copied From" ma:hidden="true" ma:internalName="CopiedFrom" ma:readOnly="false">
      <xsd:simpleType>
        <xsd:restriction base="dms:Text">
          <xsd:maxLength value="255"/>
        </xsd:restriction>
      </xsd:simpleType>
    </xsd:element>
    <xsd:element name="Endorsements" ma:index="50" nillable="true" ma:displayName="Endorsements" ma:default="N/A" ma:format="Dropdown" ma:internalName="Endorsements" ma:readOnly="false">
      <xsd:simpleType>
        <xsd:restriction base="dms:Choice">
          <xsd:enumeration value="N/A"/>
          <xsd:enumeration value="APPOINTMENTS"/>
          <xsd:enumeration value="BUDGET"/>
          <xsd:enumeration value="CABINET"/>
          <xsd:enumeration value="COMMERCIAL"/>
          <xsd:enumeration value="[DEPARTMENT] USE ONLY"/>
          <xsd:enumeration value="EMBARGOED FOR RELEASE"/>
          <xsd:enumeration value="EVALUATIVE"/>
          <xsd:enumeration value="HONOURS"/>
          <xsd:enumeration value="LEGAL PRIVILEGE"/>
          <xsd:enumeration value="MEDICAL"/>
          <xsd:enumeration value="NEW ZEALAND EYES ONLY (NZEO)"/>
          <xsd:enumeration value="STAFF"/>
          <xsd:enumeration value="POLICY"/>
          <xsd:enumeration value="TO BE REVIEWED ON"/>
          <xsd:enumeration value="RELEASEABLE TO (REL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1b176e-4748-40e6-b4c2-5c78c09fb5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56" nillable="true" ma:taxonomy="true" ma:internalName="lcf76f155ced4ddcb4097134ff3c332f" ma:taxonomyFieldName="MediaServiceImageTags" ma:displayName="Image Tags" ma:readOnly="false" ma:fieldId="{5cf76f15-5ced-4ddc-b409-7134ff3c332f}" ma:taxonomyMulti="true" ma:sspId="0413e039-5297-4392-bfce-c6182202c7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5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6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6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6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6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02A4C2D-6C13-4BE5-A1BA-F69659A536A6}">
  <ds:schemaRefs>
    <ds:schemaRef ds:uri="http://schemas.microsoft.com/office/2006/metadata/properties"/>
    <ds:schemaRef ds:uri="912cedb3-7f04-47c0-a283-ea387d34e0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f0bb6d3-c6e2-424a-aae7-13be560512f7"/>
    <ds:schemaRef ds:uri="http://purl.org/dc/elements/1.1/"/>
    <ds:schemaRef ds:uri="http://www.w3.org/XML/1998/namespace"/>
    <ds:schemaRef ds:uri="http://purl.org/dc/dcmitype/"/>
    <ds:schemaRef ds:uri="63f88c3b-21a9-4185-a50a-a3499bb2b1b6"/>
    <ds:schemaRef ds:uri="17996854-ff6c-40c5-8c24-e145664c5e7b"/>
  </ds:schemaRefs>
</ds:datastoreItem>
</file>

<file path=customXml/itemProps2.xml><?xml version="1.0" encoding="utf-8"?>
<ds:datastoreItem xmlns:ds="http://schemas.openxmlformats.org/officeDocument/2006/customXml" ds:itemID="{F334B322-8130-4DCA-901B-DF0D7FF00079}"/>
</file>

<file path=customXml/itemProps3.xml><?xml version="1.0" encoding="utf-8"?>
<ds:datastoreItem xmlns:ds="http://schemas.openxmlformats.org/officeDocument/2006/customXml" ds:itemID="{16391DF1-D972-4D81-A000-DD5C3E42E63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00B61A-EDC6-4878-94EF-DA68965DC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Pipe tobacco</vt:lpstr>
      <vt:lpstr>Cigars</vt:lpstr>
      <vt:lpstr>Cigarillos</vt:lpstr>
    </vt:vector>
  </TitlesOfParts>
  <Company>Ministry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Adams</dc:creator>
  <cp:lastModifiedBy>Grant Ovenden</cp:lastModifiedBy>
  <cp:lastPrinted>2023-05-08T23:04:02Z</cp:lastPrinted>
  <dcterms:created xsi:type="dcterms:W3CDTF">2018-12-04T20:27:43Z</dcterms:created>
  <dcterms:modified xsi:type="dcterms:W3CDTF">2024-03-12T07:55:37Z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0x01010006B508744A2AC848B695886D527F4BAE</vt:lpwstr>
  </property>
  <property fmtid="{D5CDD505-2E9C-101B-9397-08002B2CF9AE}" pid="3" name="MediaServiceImageTags">
    <vt:lpwstr/>
  </property>
  <property fmtid="{D5CDD505-2E9C-101B-9397-08002B2CF9AE}" pid="4" name="_dlc_DocIdItemGuid">
    <vt:lpwstr>501460f5-0086-415c-b1af-17d7e30d4a22</vt:lpwstr>
  </property>
</Properties>
</file>