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960" windowWidth="9750" windowHeight="5310" activeTab="2"/>
  </bookViews>
  <sheets>
    <sheet name="TobUsed" sheetId="1" r:id="rId1"/>
    <sheet name="Additives" sheetId="2" r:id="rId2"/>
    <sheet name="TobSales" sheetId="3" r:id="rId3"/>
  </sheets>
  <definedNames>
    <definedName name="_xlnm.Print_Area" localSheetId="1">'Additives'!$A$3:$J$146</definedName>
    <definedName name="_xlnm.Print_Area" localSheetId="2">'TobSales'!$A$1:$M$697</definedName>
    <definedName name="_xlnm.Print_Area" localSheetId="0">'TobUsed'!$A$1:$J$491</definedName>
  </definedNames>
  <calcPr fullCalcOnLoad="1"/>
</workbook>
</file>

<file path=xl/comments1.xml><?xml version="1.0" encoding="utf-8"?>
<comments xmlns="http://schemas.openxmlformats.org/spreadsheetml/2006/main">
  <authors>
    <author>_______</author>
  </authors>
  <commentList>
    <comment ref="B38" authorId="0">
      <text>
        <r>
          <rPr>
            <b/>
            <sz val="8"/>
            <rFont val="Tahoma"/>
            <family val="2"/>
          </rPr>
          <t>_______: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<sst xmlns="http://schemas.openxmlformats.org/spreadsheetml/2006/main" count="1734" uniqueCount="910">
  <si>
    <t>BAT</t>
  </si>
  <si>
    <t>Imperial</t>
  </si>
  <si>
    <t>Moderna</t>
  </si>
  <si>
    <t>Philip Morris</t>
  </si>
  <si>
    <t>cigarette</t>
  </si>
  <si>
    <t>Year</t>
  </si>
  <si>
    <t>Rothmans</t>
  </si>
  <si>
    <t>millions</t>
  </si>
  <si>
    <t>tonnes</t>
  </si>
  <si>
    <t>g</t>
  </si>
  <si>
    <t>a</t>
  </si>
  <si>
    <t>b</t>
  </si>
  <si>
    <t>c</t>
  </si>
  <si>
    <t>d</t>
  </si>
  <si>
    <t>f</t>
  </si>
  <si>
    <t>i</t>
  </si>
  <si>
    <t>e</t>
  </si>
  <si>
    <t>h</t>
  </si>
  <si>
    <t>j</t>
  </si>
  <si>
    <t>million</t>
  </si>
  <si>
    <t>total</t>
  </si>
  <si>
    <t>Note:</t>
  </si>
  <si>
    <t>TOBACCO PRODUCT SALES</t>
  </si>
  <si>
    <t>Brand</t>
  </si>
  <si>
    <t>Variant</t>
  </si>
  <si>
    <t>Pack</t>
  </si>
  <si>
    <t>Sales</t>
  </si>
  <si>
    <t>or type</t>
  </si>
  <si>
    <t>size</t>
  </si>
  <si>
    <t>Tar</t>
  </si>
  <si>
    <t>Nicotine</t>
  </si>
  <si>
    <t>CO</t>
  </si>
  <si>
    <t>Tar/Nic</t>
  </si>
  <si>
    <t>ratio</t>
  </si>
  <si>
    <t xml:space="preserve">BAT brands </t>
  </si>
  <si>
    <t>Dunhill</t>
  </si>
  <si>
    <t>KSF</t>
  </si>
  <si>
    <t>Freedom</t>
  </si>
  <si>
    <t xml:space="preserve">Freedom </t>
  </si>
  <si>
    <t>Virginia</t>
  </si>
  <si>
    <t>Mild</t>
  </si>
  <si>
    <t>Holiday</t>
  </si>
  <si>
    <t>Menthol</t>
  </si>
  <si>
    <t xml:space="preserve">Kent </t>
  </si>
  <si>
    <t>Lucky Strike</t>
  </si>
  <si>
    <t>Regular</t>
  </si>
  <si>
    <t>Pall Mall</t>
  </si>
  <si>
    <t>Filter</t>
  </si>
  <si>
    <t>Winfield</t>
  </si>
  <si>
    <t>Sportsman</t>
  </si>
  <si>
    <t>Peter Stuyvesant</t>
  </si>
  <si>
    <t>John Brandon</t>
  </si>
  <si>
    <t>Horizon</t>
  </si>
  <si>
    <t>Superkings</t>
  </si>
  <si>
    <t xml:space="preserve">Philip Morris </t>
  </si>
  <si>
    <t>Longbeach</t>
  </si>
  <si>
    <t>Filter tip</t>
  </si>
  <si>
    <t xml:space="preserve">Marlboro </t>
  </si>
  <si>
    <t>total Philip Morris</t>
  </si>
  <si>
    <t>Yuxi 20s</t>
  </si>
  <si>
    <t>Furangwong</t>
  </si>
  <si>
    <t>Lesser Panda</t>
  </si>
  <si>
    <t>Camel</t>
  </si>
  <si>
    <t xml:space="preserve">Davidoff </t>
  </si>
  <si>
    <t>Classic</t>
  </si>
  <si>
    <t>Chung Hwa</t>
  </si>
  <si>
    <t xml:space="preserve">Double Happiness </t>
  </si>
  <si>
    <t>All other brands</t>
  </si>
  <si>
    <t>Tax per</t>
  </si>
  <si>
    <t>Price per</t>
  </si>
  <si>
    <t>GST</t>
  </si>
  <si>
    <t>Trade, per</t>
  </si>
  <si>
    <t>Tax paid</t>
  </si>
  <si>
    <t>Trade's</t>
  </si>
  <si>
    <t>Volume</t>
  </si>
  <si>
    <t>Excise</t>
  </si>
  <si>
    <t>tax/cig.</t>
  </si>
  <si>
    <t>releases</t>
  </si>
  <si>
    <t>sales</t>
  </si>
  <si>
    <t>estimated</t>
  </si>
  <si>
    <t>$</t>
  </si>
  <si>
    <t>$ inc GST</t>
  </si>
  <si>
    <t>$ millions</t>
  </si>
  <si>
    <t>k</t>
  </si>
  <si>
    <t>l</t>
  </si>
  <si>
    <t>Notes:</t>
  </si>
  <si>
    <t xml:space="preserve">Excise rate per cigarette. NZ Customs. </t>
  </si>
  <si>
    <t>www.customs.govt.nz</t>
  </si>
  <si>
    <t xml:space="preserve">c </t>
  </si>
  <si>
    <t>Trade share = b minus a minus c</t>
  </si>
  <si>
    <t>Tax paid releases from bond.</t>
  </si>
  <si>
    <t xml:space="preserve">www.statistics.govt.nz </t>
  </si>
  <si>
    <t>Consumers' spend = product of b and e</t>
  </si>
  <si>
    <t>Estimated excise includes import duty but not GST.</t>
  </si>
  <si>
    <t>GST per</t>
  </si>
  <si>
    <t>Trade per</t>
  </si>
  <si>
    <t>gram</t>
  </si>
  <si>
    <t>Notes</t>
  </si>
  <si>
    <t>g / pack</t>
  </si>
  <si>
    <t>Kg sold</t>
  </si>
  <si>
    <t>Park Drive</t>
  </si>
  <si>
    <t>Port Royal</t>
  </si>
  <si>
    <t xml:space="preserve">Port Royal </t>
  </si>
  <si>
    <t>Kentucky Bourbon</t>
  </si>
  <si>
    <t xml:space="preserve">Winfield </t>
  </si>
  <si>
    <t>Total cigarette tobacco sold by BAT</t>
  </si>
  <si>
    <t>Pocket Edition</t>
  </si>
  <si>
    <t>Virginia Gold</t>
  </si>
  <si>
    <t>Riverstone</t>
  </si>
  <si>
    <t>Total cigarette tobacco sold, all firms</t>
  </si>
  <si>
    <t>BAT total</t>
  </si>
  <si>
    <t>Total cigarette tobacco sold by Imperial</t>
  </si>
  <si>
    <t xml:space="preserve">Total pipe tobacco sold </t>
  </si>
  <si>
    <t>$'000 sold</t>
  </si>
  <si>
    <t>mg /cig</t>
  </si>
  <si>
    <t>Tables  G to I</t>
  </si>
  <si>
    <t>Table G. Manufactured cigarettes continued</t>
  </si>
  <si>
    <t>Table H.</t>
  </si>
  <si>
    <t>H. 1.    Manufactured cigarettes</t>
  </si>
  <si>
    <t xml:space="preserve">H. 2. Hand-rolled cigarettes </t>
  </si>
  <si>
    <t>$ million</t>
  </si>
  <si>
    <t>GST inc.</t>
  </si>
  <si>
    <t>$ per</t>
  </si>
  <si>
    <t>Trade $ /</t>
  </si>
  <si>
    <t>Topaz</t>
  </si>
  <si>
    <t>NewWorld (importer) ex Shanghai (Tobacco Group) Corp</t>
  </si>
  <si>
    <t>Ashford full flavour</t>
  </si>
  <si>
    <t>Health Link Distributors from Guangzhou China via Australia</t>
  </si>
  <si>
    <t>Liqun</t>
  </si>
  <si>
    <t>Japan Tobacco</t>
  </si>
  <si>
    <t>Japan Tobacco International</t>
  </si>
  <si>
    <t>as % of</t>
  </si>
  <si>
    <t>price</t>
  </si>
  <si>
    <t>All taxes</t>
  </si>
  <si>
    <t xml:space="preserve">Trade </t>
  </si>
  <si>
    <t>share of</t>
  </si>
  <si>
    <t>price %</t>
  </si>
  <si>
    <t>Column e includes a small amount of pipe tobacco</t>
  </si>
  <si>
    <t xml:space="preserve">Calendar year prices are based on average of January  to December prices. </t>
  </si>
  <si>
    <t>CPI</t>
  </si>
  <si>
    <t>000 sticks</t>
  </si>
  <si>
    <t>Fine Cut Navy</t>
  </si>
  <si>
    <t>Fine Cut White</t>
  </si>
  <si>
    <t>Flavoured</t>
  </si>
  <si>
    <t>Double Happiness</t>
  </si>
  <si>
    <t>John Player</t>
  </si>
  <si>
    <t>millions$</t>
  </si>
  <si>
    <t>Consumer</t>
  </si>
  <si>
    <t>expendtiure</t>
  </si>
  <si>
    <t>millions $</t>
  </si>
  <si>
    <t xml:space="preserve">Filter </t>
  </si>
  <si>
    <t>mlns sticks</t>
  </si>
  <si>
    <t>expenditure</t>
  </si>
  <si>
    <t>reported</t>
  </si>
  <si>
    <t>Total loose tobacco sold (pipe + RYO)</t>
  </si>
  <si>
    <t>$ /g</t>
  </si>
  <si>
    <t xml:space="preserve">Comment: </t>
  </si>
  <si>
    <t>Regular or with tin/twinpack</t>
  </si>
  <si>
    <t>Premier</t>
  </si>
  <si>
    <t>Menthol DkGreen</t>
  </si>
  <si>
    <t>Gold</t>
  </si>
  <si>
    <t>$/pack</t>
  </si>
  <si>
    <t>Column l = general, all groups, consumer price index, from:</t>
  </si>
  <si>
    <t xml:space="preserve">Trade sales = product of d and e. This share is decreased if RRP in b above is discounted. </t>
  </si>
  <si>
    <t>Government share of price = %(a+c)/b</t>
  </si>
  <si>
    <t>(Excise + GST) as % of retail price</t>
  </si>
  <si>
    <t>Column notes largely as for Table H.1.</t>
  </si>
  <si>
    <t xml:space="preserve"> Kg sold</t>
  </si>
  <si>
    <t xml:space="preserve">   Brand totals</t>
  </si>
  <si>
    <t>(Reemsta pre 2003)</t>
  </si>
  <si>
    <t>$'000</t>
  </si>
  <si>
    <t>Mild Blue</t>
  </si>
  <si>
    <t>Black label</t>
  </si>
  <si>
    <t>RY0</t>
  </si>
  <si>
    <t>Easy Blue</t>
  </si>
  <si>
    <t>Easy Fine Cut</t>
  </si>
  <si>
    <t>Manitou</t>
  </si>
  <si>
    <t>Refined</t>
  </si>
  <si>
    <t>Distinct</t>
  </si>
  <si>
    <t>Chilled</t>
  </si>
  <si>
    <t xml:space="preserve">Dunhill </t>
  </si>
  <si>
    <t>e=b/c</t>
  </si>
  <si>
    <t xml:space="preserve">Blue </t>
  </si>
  <si>
    <t>Blue</t>
  </si>
  <si>
    <t>Menthol Green</t>
  </si>
  <si>
    <t>Blue 2x25</t>
  </si>
  <si>
    <t>Green Menthol Mild</t>
  </si>
  <si>
    <t>Grn MMild2*25</t>
  </si>
  <si>
    <t>Red</t>
  </si>
  <si>
    <t>Red2x25TP</t>
  </si>
  <si>
    <t>Futura</t>
  </si>
  <si>
    <t xml:space="preserve">Infina </t>
  </si>
  <si>
    <t>Neo</t>
  </si>
  <si>
    <t>Original RedHP</t>
  </si>
  <si>
    <t>Original RedSP</t>
  </si>
  <si>
    <t>Green Menthol</t>
  </si>
  <si>
    <t>Green Menthol30</t>
  </si>
  <si>
    <t>Amber</t>
  </si>
  <si>
    <t>State Express</t>
  </si>
  <si>
    <t xml:space="preserve">Gold </t>
  </si>
  <si>
    <t xml:space="preserve">subtle </t>
  </si>
  <si>
    <t>rich</t>
  </si>
  <si>
    <t>rich 25</t>
  </si>
  <si>
    <t>classic</t>
  </si>
  <si>
    <t>classic25</t>
  </si>
  <si>
    <t xml:space="preserve">classic </t>
  </si>
  <si>
    <t>fine</t>
  </si>
  <si>
    <t>blue</t>
  </si>
  <si>
    <t>Mellow</t>
  </si>
  <si>
    <t>red</t>
  </si>
  <si>
    <t>green</t>
  </si>
  <si>
    <t>gold</t>
  </si>
  <si>
    <t>classic slims</t>
  </si>
  <si>
    <t>original flavour HP</t>
  </si>
  <si>
    <t>rich flavour HP</t>
  </si>
  <si>
    <t>Blue KSHP</t>
  </si>
  <si>
    <t>Gold Original</t>
  </si>
  <si>
    <t>Black Menthol</t>
  </si>
  <si>
    <t>White Menthol</t>
  </si>
  <si>
    <t>GT</t>
  </si>
  <si>
    <t>Red KSHP</t>
  </si>
  <si>
    <t>Green KSHP</t>
  </si>
  <si>
    <t xml:space="preserve">New World </t>
  </si>
  <si>
    <t>Golden Deer</t>
  </si>
  <si>
    <t>HealthLink</t>
  </si>
  <si>
    <t>NZ Tobacco</t>
  </si>
  <si>
    <r>
      <t>I.1          Cigarette tobacco sales</t>
    </r>
    <r>
      <rPr>
        <b/>
        <sz val="12"/>
        <rFont val="Arial Narrow"/>
        <family val="2"/>
      </rPr>
      <t xml:space="preserve"> </t>
    </r>
  </si>
  <si>
    <t xml:space="preserve">Chunghwa </t>
  </si>
  <si>
    <t>$/cigarette</t>
  </si>
  <si>
    <t>B&amp;H</t>
  </si>
  <si>
    <t xml:space="preserve">Imperial + BAT </t>
  </si>
  <si>
    <t>PM = Philip Morris</t>
  </si>
  <si>
    <t xml:space="preserve"> </t>
  </si>
  <si>
    <t>of tobacco</t>
  </si>
  <si>
    <t>December</t>
  </si>
  <si>
    <t xml:space="preserve">Weight as % </t>
  </si>
  <si>
    <t>All firms</t>
  </si>
  <si>
    <t>Other</t>
  </si>
  <si>
    <t>PM</t>
  </si>
  <si>
    <t>Year ending</t>
  </si>
  <si>
    <t>Additives  in cigars</t>
  </si>
  <si>
    <t>F.4</t>
  </si>
  <si>
    <t>Comment:      As with cigarette tobacco, additives amounted to around 15% of moist weight of the tobacco.</t>
  </si>
  <si>
    <t>Additives in pipe tobacco</t>
  </si>
  <si>
    <t>F.3</t>
  </si>
  <si>
    <t xml:space="preserve">Note:              For pre-1999 data, read Rothmans for BAT, and Wills for Imperial. </t>
  </si>
  <si>
    <t>Additives in cigarette tobacco</t>
  </si>
  <si>
    <t>F.2</t>
  </si>
  <si>
    <t>Comment:</t>
  </si>
  <si>
    <t xml:space="preserve">                     Manufacturers supply a list of additives, and upper limits of amounts used, but not the quantity used in each brand.</t>
  </si>
  <si>
    <t>g/cigarette</t>
  </si>
  <si>
    <t>weight</t>
  </si>
  <si>
    <t>% weight</t>
  </si>
  <si>
    <t>Additives as</t>
  </si>
  <si>
    <t xml:space="preserve">% by </t>
  </si>
  <si>
    <t>In all products</t>
  </si>
  <si>
    <t>In manufactured cigarettes</t>
  </si>
  <si>
    <t>Additives in all tobacco products, and in manufactured cigarettes</t>
  </si>
  <si>
    <t>F.1</t>
  </si>
  <si>
    <t>Table F.</t>
  </si>
  <si>
    <t>Additives</t>
  </si>
  <si>
    <t>f=d*100/e</t>
  </si>
  <si>
    <t>e=a+d</t>
  </si>
  <si>
    <t>Average tobacco per cigarette, whether RYO or not; g</t>
  </si>
  <si>
    <t>RYO as  % of total cigarettes smoked</t>
  </si>
  <si>
    <t xml:space="preserve">    All</t>
  </si>
  <si>
    <t xml:space="preserve">  Other</t>
  </si>
  <si>
    <t>P.Morris</t>
  </si>
  <si>
    <t>YE Dec</t>
  </si>
  <si>
    <t>E.5</t>
  </si>
  <si>
    <t>Firms' share by volume of manufactured cigarettes sold</t>
  </si>
  <si>
    <t>E.4</t>
  </si>
  <si>
    <t>to Dec.</t>
  </si>
  <si>
    <t>Total</t>
  </si>
  <si>
    <t xml:space="preserve">Firms' manufactured cigarette volume sales </t>
  </si>
  <si>
    <t>E.3</t>
  </si>
  <si>
    <t>year</t>
  </si>
  <si>
    <t>31 Dec.</t>
  </si>
  <si>
    <t>from previous</t>
  </si>
  <si>
    <t>moist weight</t>
  </si>
  <si>
    <t>P Morris</t>
  </si>
  <si>
    <t>ending</t>
  </si>
  <si>
    <t>Change %</t>
  </si>
  <si>
    <t>All products</t>
  </si>
  <si>
    <t>E. 2</t>
  </si>
  <si>
    <t>Cigars</t>
  </si>
  <si>
    <t>Pipe tobacco</t>
  </si>
  <si>
    <t>Ryo tobacco</t>
  </si>
  <si>
    <t>Cigarettes</t>
  </si>
  <si>
    <t>E 1.</t>
  </si>
  <si>
    <t>Prior to 1999, for BAT read Rothmans; for Imperial read Wills.</t>
  </si>
  <si>
    <t>Table E. Firms' market share of tobacco used</t>
  </si>
  <si>
    <t>For mean resident adult population see Table B2.</t>
  </si>
  <si>
    <t>SM=Swedish Match</t>
  </si>
  <si>
    <t>g/adult</t>
  </si>
  <si>
    <t>Moist</t>
  </si>
  <si>
    <t>All</t>
  </si>
  <si>
    <t>RYO+pipe</t>
  </si>
  <si>
    <t>used</t>
  </si>
  <si>
    <t>Tobacco</t>
  </si>
  <si>
    <t>Pipe Tobacco</t>
  </si>
  <si>
    <t>D.2</t>
  </si>
  <si>
    <t>e=a+b+c+d</t>
  </si>
  <si>
    <t>Dec.</t>
  </si>
  <si>
    <t>Year end</t>
  </si>
  <si>
    <t>Cigarette RYO tobacco used</t>
  </si>
  <si>
    <t>D 1.</t>
  </si>
  <si>
    <t>Moist weight of tobacco per manufactured cigarette.</t>
  </si>
  <si>
    <t xml:space="preserve">e=a+b+c+d </t>
  </si>
  <si>
    <t xml:space="preserve">PM = Philip Morris. </t>
  </si>
  <si>
    <t>Imperial Tobacco Company. For data prior to 1999, read WD and HO Wills NZ Ltd.</t>
  </si>
  <si>
    <t>BAT = British American Tobacco. For data prior to 1999, read Rothmans.</t>
  </si>
  <si>
    <t>Note</t>
  </si>
  <si>
    <t>Column</t>
  </si>
  <si>
    <t>Duty-free sales reports were not included.</t>
  </si>
  <si>
    <t xml:space="preserve">* under reported.     </t>
  </si>
  <si>
    <t>*</t>
  </si>
  <si>
    <t>*1</t>
  </si>
  <si>
    <t>f /pop15+</t>
  </si>
  <si>
    <t>g=f /e</t>
  </si>
  <si>
    <t>cigs/adult</t>
  </si>
  <si>
    <t>excise data</t>
  </si>
  <si>
    <t>cigarettes</t>
  </si>
  <si>
    <t>g per</t>
  </si>
  <si>
    <t>Others</t>
  </si>
  <si>
    <t>for sale</t>
  </si>
  <si>
    <t>Moist weight</t>
  </si>
  <si>
    <t>used#</t>
  </si>
  <si>
    <t>#</t>
  </si>
  <si>
    <t>Released</t>
  </si>
  <si>
    <t>Per adult</t>
  </si>
  <si>
    <t>age 15+</t>
  </si>
  <si>
    <t>tobacco</t>
  </si>
  <si>
    <t>inc cigars</t>
  </si>
  <si>
    <t>moist</t>
  </si>
  <si>
    <t>31 Dec</t>
  </si>
  <si>
    <t>calendar year</t>
  </si>
  <si>
    <t>tax-paid</t>
  </si>
  <si>
    <t>resident population*</t>
  </si>
  <si>
    <t>products</t>
  </si>
  <si>
    <t>Estimated</t>
  </si>
  <si>
    <t>All tobacco</t>
  </si>
  <si>
    <t>B.2</t>
  </si>
  <si>
    <t>Assumes 2g /cigar or cigarillo.</t>
  </si>
  <si>
    <t>* missing data</t>
  </si>
  <si>
    <t>**3</t>
  </si>
  <si>
    <t>Millions</t>
  </si>
  <si>
    <t>Tonnes</t>
  </si>
  <si>
    <t>No. of cigars</t>
  </si>
  <si>
    <t>B.1</t>
  </si>
  <si>
    <t>Table B. Tobacco used in cigars and all tobacco products</t>
  </si>
  <si>
    <t>Comment</t>
  </si>
  <si>
    <t xml:space="preserve">BAT = British American Tobacco; PM = Philip Morris </t>
  </si>
  <si>
    <t>% of dry tobacco</t>
  </si>
  <si>
    <t>Dry total</t>
  </si>
  <si>
    <t>% of moist tobacco</t>
  </si>
  <si>
    <t>Moist total</t>
  </si>
  <si>
    <t>cigars</t>
  </si>
  <si>
    <t>pipe</t>
  </si>
  <si>
    <t>RYO</t>
  </si>
  <si>
    <t>Tobacco dry weight</t>
  </si>
  <si>
    <t>Dry fraction</t>
  </si>
  <si>
    <t>Total moist</t>
  </si>
  <si>
    <t>Company</t>
  </si>
  <si>
    <t>A.3</t>
  </si>
  <si>
    <t>Pipe</t>
  </si>
  <si>
    <t>unit</t>
  </si>
  <si>
    <t>A.2</t>
  </si>
  <si>
    <t>* As for BAT, Imperial's RYO value for tobacco used is based on tobacco + additives</t>
  </si>
  <si>
    <t>10. New World (NZ)</t>
  </si>
  <si>
    <t>1. British American BAT*</t>
  </si>
  <si>
    <t>Kg tobacco used</t>
  </si>
  <si>
    <t>A.1</t>
  </si>
  <si>
    <t>Tobacco use, where not reported, is estimated at 0.70 g per cigarette</t>
  </si>
  <si>
    <t>RYO cigarettes 0.7 g/stick</t>
  </si>
  <si>
    <t>average moisture</t>
  </si>
  <si>
    <t>millions of "smokes"</t>
  </si>
  <si>
    <t>per  adult</t>
  </si>
  <si>
    <t xml:space="preserve">Column g: Pre-1991, defacto population </t>
  </si>
  <si>
    <t>From 1991, resident population, age 15 years and over, for mean year ending Dec.31.</t>
  </si>
  <si>
    <t>From www.statistics.govt.nz in downloadable resident population tables.</t>
  </si>
  <si>
    <t>Pre-1999, read Wills for Imperial, and read Rothmans for BAT.</t>
  </si>
  <si>
    <t>Djarum incl clove</t>
  </si>
  <si>
    <t>total other brands</t>
  </si>
  <si>
    <t>Totals, all</t>
  </si>
  <si>
    <t xml:space="preserve">No. of brand variants on sale, including some delisted during the year </t>
  </si>
  <si>
    <t>avg $/g--&gt;</t>
  </si>
  <si>
    <t>Old Holburn</t>
  </si>
  <si>
    <t>Moisture per product class: see Table A2.</t>
  </si>
  <si>
    <t>based on dry weight of tobacco content</t>
  </si>
  <si>
    <t>data</t>
  </si>
  <si>
    <t xml:space="preserve">not </t>
  </si>
  <si>
    <t>collected</t>
  </si>
  <si>
    <t>g  / adult</t>
  </si>
  <si>
    <t>RYO sales minus Pipe sales in tonnes from Table I 1.</t>
  </si>
  <si>
    <t>Percentage is based on  total cigarette tobacco used in Table D1, col e,.</t>
  </si>
  <si>
    <t>Total cigarette sticks manufactured + RYO sticks estimated at 0.7 g each</t>
  </si>
  <si>
    <t>1RYO=1g</t>
  </si>
  <si>
    <t>Used in all</t>
  </si>
  <si>
    <t>For data prior to 1999, for BAT read Rothmans; for Imperial, read Wills.</t>
  </si>
  <si>
    <t>RYO sales</t>
  </si>
  <si>
    <t>total sales</t>
  </si>
  <si>
    <t>date</t>
  </si>
  <si>
    <t>per1000</t>
  </si>
  <si>
    <t>&gt;0.8 g/stick</t>
  </si>
  <si>
    <t>per Kg tobacco content</t>
  </si>
  <si>
    <t>1 Dec</t>
  </si>
  <si>
    <t>GST on products including tobacco rose from 12.5% to 15% 1 Oct 2010.</t>
  </si>
  <si>
    <t>e *pop 15+</t>
  </si>
  <si>
    <t>KoreanWhite</t>
  </si>
  <si>
    <t xml:space="preserve">Of all tobacco used, after subtracting moisture, </t>
  </si>
  <si>
    <t>was BAT's  share</t>
  </si>
  <si>
    <t>millions /tonnes</t>
  </si>
  <si>
    <t>sticks</t>
  </si>
  <si>
    <t>$ / pack</t>
  </si>
  <si>
    <t>d=c / 0.7</t>
  </si>
  <si>
    <t xml:space="preserve">Based on Tables C, B2, and D2, and assumption of 0.7 g tobacco per RYO cigarette. </t>
  </si>
  <si>
    <t>From 2010, RYO tobacco was taxed assuming 0.7 g tobacco per cigarette.</t>
  </si>
  <si>
    <t>2. Imperial</t>
  </si>
  <si>
    <t>3. Philip Morris</t>
  </si>
  <si>
    <t>4. Cosmic Corner</t>
  </si>
  <si>
    <t>5. Healthlink Distributors</t>
  </si>
  <si>
    <t>6. JTI</t>
  </si>
  <si>
    <t>9. Moderna</t>
  </si>
  <si>
    <t>Factory made cigarettes</t>
  </si>
  <si>
    <t>RYO only</t>
  </si>
  <si>
    <t xml:space="preserve">Tobacco used </t>
  </si>
  <si>
    <t>Excise paid</t>
  </si>
  <si>
    <t>1990-10</t>
  </si>
  <si>
    <t xml:space="preserve">a, b, c, d: </t>
  </si>
  <si>
    <t>g/ adult/ year</t>
  </si>
  <si>
    <t>Pipe Tobacco, and all Loose tobacco used</t>
  </si>
  <si>
    <t>Loose tobacco use (RYO pluse pipe) per adult peaked in 2007</t>
  </si>
  <si>
    <t>Firms' share by weight, of dry tobacco used, all products</t>
  </si>
  <si>
    <t>Black</t>
  </si>
  <si>
    <t>Green 20 LEP Escape?</t>
  </si>
  <si>
    <t>Red20LEP Escape?</t>
  </si>
  <si>
    <t>Red 25</t>
  </si>
  <si>
    <t>Red 2x25</t>
  </si>
  <si>
    <t>Green 25</t>
  </si>
  <si>
    <t xml:space="preserve">Red Baseline </t>
  </si>
  <si>
    <t xml:space="preserve">Blue Baseline </t>
  </si>
  <si>
    <t>Green Baseline</t>
  </si>
  <si>
    <t>555 Gold</t>
  </si>
  <si>
    <t>555 Gold Pearl</t>
  </si>
  <si>
    <t>Vogue</t>
  </si>
  <si>
    <t>Slim Blue</t>
  </si>
  <si>
    <t>"</t>
  </si>
  <si>
    <t>Slim Menthol</t>
  </si>
  <si>
    <t>Gold Advance KSHP</t>
  </si>
  <si>
    <t xml:space="preserve"> Red</t>
  </si>
  <si>
    <t>Domingo</t>
  </si>
  <si>
    <t xml:space="preserve">Borkum Riff </t>
  </si>
  <si>
    <t>Blk Cavendish</t>
  </si>
  <si>
    <t>Cherry Cavendish</t>
  </si>
  <si>
    <t>Honey Orange</t>
  </si>
  <si>
    <t>Vanilla Cavendish</t>
  </si>
  <si>
    <t>Whiskey</t>
  </si>
  <si>
    <t xml:space="preserve">Erinmore </t>
  </si>
  <si>
    <t>Flake</t>
  </si>
  <si>
    <t>Pipeman</t>
  </si>
  <si>
    <t>Peterson tin</t>
  </si>
  <si>
    <t>Brands with recorded sales without prices were priced in line with most similar variants.</t>
  </si>
  <si>
    <t>In the case of Imperial brands, the price for May to September was the price used.</t>
  </si>
  <si>
    <t>Benson &amp; Hedges</t>
  </si>
  <si>
    <t>Peter Jackson</t>
  </si>
  <si>
    <t>Excise per</t>
  </si>
  <si>
    <t>All other firms</t>
  </si>
  <si>
    <t xml:space="preserve">Total all others </t>
  </si>
  <si>
    <t>NZ Tobacco Coy  total</t>
  </si>
  <si>
    <t xml:space="preserve"> Kg sold </t>
  </si>
  <si>
    <t>RRP=manufacturer's recommended retail price</t>
  </si>
  <si>
    <t>American Spirit</t>
  </si>
  <si>
    <t>From 2010, volumes sold is from manufacturers returns above, Table G, and not from Statistics NZ.</t>
  </si>
  <si>
    <t>From 2010, from Table G  or E3.</t>
  </si>
  <si>
    <t xml:space="preserve">GST, currently  one ninth of b, From October 1st, 2010, = 13.0% of b. </t>
  </si>
  <si>
    <t>Inflation adjustment</t>
  </si>
  <si>
    <t>NZ Tobacco Company distributor, from Landewyck</t>
  </si>
  <si>
    <t>8. NZTob + Landewyck</t>
  </si>
  <si>
    <t>Kg</t>
  </si>
  <si>
    <t>thousands</t>
  </si>
  <si>
    <t>12. Stuart Alexander</t>
  </si>
  <si>
    <t>The three main firms accounted for over 98% of total (dry) tobacco used.</t>
  </si>
  <si>
    <t>2008 cigar value is mean of adjacent values</t>
  </si>
  <si>
    <t>From 2010 onwards, sales in Tables G and I provide release data.</t>
  </si>
  <si>
    <t>For tax paid tobacco, www.statistics.govt.nz, annual releases, up to 2009.</t>
  </si>
  <si>
    <t>Tax paid volumes up to 2009 from www.statistics.govt.nz, after which tax paid volumes no longer published</t>
  </si>
  <si>
    <t>Based on reported moist weight of tobacco used in manufacture in calendar year..</t>
  </si>
  <si>
    <t>Dry weight from Table 2 in column b divided by population in column g</t>
  </si>
  <si>
    <t>Tobacco used by firms from Table A1.</t>
  </si>
  <si>
    <t>sum of a+b+c+d = total reported use of tobacco in manufactiure, all fiirms combined.</t>
  </si>
  <si>
    <t>e  divided by population 15 years and over, from Table B2. .</t>
  </si>
  <si>
    <t>column g divided by population from Table B2.</t>
  </si>
  <si>
    <t xml:space="preserve">per adult </t>
  </si>
  <si>
    <t>from previous year</t>
  </si>
  <si>
    <t>no. RYO cigarettes 0.7 g per cigarette, per adult</t>
  </si>
  <si>
    <t>From Table C in column f, divided by population age 15 and over from Table B2.</t>
  </si>
  <si>
    <t>For 2010, the source is not excise data but sales as given in Table G.</t>
  </si>
  <si>
    <t xml:space="preserve">Manufactured cigarettes released or sold per adult </t>
  </si>
  <si>
    <t>Nasal tobacco snuff is sold in small quantity by some tobacconists.</t>
  </si>
  <si>
    <t>Percentages (from right hand column of Table A3) are based on dry weight after subtracting moisture.</t>
  </si>
  <si>
    <t>Comment:   103 tonnes of additives, amounting to 14%  of cigarette tobacco weight, were used in 2010.</t>
  </si>
  <si>
    <t>Marlboro</t>
  </si>
  <si>
    <t>Djarum</t>
  </si>
  <si>
    <t>Vol sales</t>
  </si>
  <si>
    <t>Table H.5 Tobacco products excise rate changes</t>
  </si>
  <si>
    <t>Tradition Virginia Red</t>
  </si>
  <si>
    <t>Manitou Gold Additive free</t>
  </si>
  <si>
    <t xml:space="preserve">Ashford* </t>
  </si>
  <si>
    <t>Easy*</t>
  </si>
  <si>
    <t>Duty free sales omitted.</t>
  </si>
  <si>
    <t>For pre-1999 data, read Rothmans for BAT, and read Wills for Imperial.</t>
  </si>
  <si>
    <t>Pre-1999, Rothmans for BAT; Wills for Imperial.  BAT= British American Tobacco. PM= Philip Morris</t>
  </si>
  <si>
    <t>"Additive-free"</t>
  </si>
  <si>
    <t>in current dollars</t>
  </si>
  <si>
    <t>Includes a small amount of pipe tobacco.</t>
  </si>
  <si>
    <t>One cigar =2 g</t>
  </si>
  <si>
    <t>g=(a*b+c)/e</t>
  </si>
  <si>
    <t>From Table A2, traditionally calculated, divided by population in col. g.</t>
  </si>
  <si>
    <t>g/ adult</t>
  </si>
  <si>
    <t>Population</t>
  </si>
  <si>
    <t>d= a/g</t>
  </si>
  <si>
    <t>cpi 1995 = 1386 in 2010</t>
  </si>
  <si>
    <t xml:space="preserve">The tobacco trade's receipts in real terms have reduced only 5% in 20 years despite 41% less product sold. </t>
  </si>
  <si>
    <t xml:space="preserve">Consumer expenditure is based on tax paid releases. </t>
  </si>
  <si>
    <t>Sales reported in $ = based on manufacturers reported sales.</t>
  </si>
  <si>
    <t>Manufacturers reported sales  1 RYO cigarette = 1 g.</t>
  </si>
  <si>
    <t xml:space="preserve">    d</t>
  </si>
  <si>
    <t xml:space="preserve">   b</t>
  </si>
  <si>
    <t>Manufacturers returns. Average recommended retail price (RRP), January through December, from Table G.</t>
  </si>
  <si>
    <t xml:space="preserve">The percentage of additives in total product is influenced by the additives in cigarette tobacco. </t>
  </si>
  <si>
    <t>Additives made up to  5% of the weight of an average cigar.</t>
  </si>
  <si>
    <t>Fluctuations may be due to variations in completeness of reporting.</t>
  </si>
  <si>
    <t xml:space="preserve">From 2010, sales from Tables I are used to replace excise data. </t>
  </si>
  <si>
    <t>Trade share of price = (d/b)%. Discounting is not allowed for.</t>
  </si>
  <si>
    <t>cigarillos</t>
  </si>
  <si>
    <t>Menthol twin25</t>
  </si>
  <si>
    <t>Mellow twin25</t>
  </si>
  <si>
    <t>Red Fortune</t>
  </si>
  <si>
    <t>Bamboo F</t>
  </si>
  <si>
    <t>Drum Classic Leaf</t>
  </si>
  <si>
    <t>Drum Rich Leaf</t>
  </si>
  <si>
    <t xml:space="preserve">John Brandon </t>
  </si>
  <si>
    <t>JPS</t>
  </si>
  <si>
    <t>RYO Blue</t>
  </si>
  <si>
    <t>RYO Green</t>
  </si>
  <si>
    <t>RYO Red</t>
  </si>
  <si>
    <t>Gold Original incl KSHP</t>
  </si>
  <si>
    <t>Nanocut Burgundy</t>
  </si>
  <si>
    <t>NanocutWhite</t>
  </si>
  <si>
    <t>GreenMenthol2*25</t>
  </si>
  <si>
    <t>Reef</t>
  </si>
  <si>
    <t>Manitou Pouch</t>
  </si>
  <si>
    <t xml:space="preserve">Manitou </t>
  </si>
  <si>
    <t>National population estimates by age group,.</t>
  </si>
  <si>
    <t>Kent</t>
  </si>
  <si>
    <t>Double Happiness Gold</t>
  </si>
  <si>
    <t>Chungwa 5000</t>
  </si>
  <si>
    <t>sales weighted yields</t>
  </si>
  <si>
    <t>Releases</t>
  </si>
  <si>
    <t>13.Scandinavian Tob Gp</t>
  </si>
  <si>
    <t>RYO  taxpaid</t>
  </si>
  <si>
    <t>From Table D2, taxpaid tonnage of loose tobacco after subtracting pipe tobacco sales in tonnes.</t>
  </si>
  <si>
    <t>Per 1000 sticks</t>
  </si>
  <si>
    <t>Twin gold &amp;KSF</t>
  </si>
  <si>
    <t>RRP Feb-Dec</t>
  </si>
  <si>
    <t>Huanghelou</t>
  </si>
  <si>
    <t>Shuangxi</t>
  </si>
  <si>
    <t>Yuxi</t>
  </si>
  <si>
    <t>Djarum Bali Hai Scand TG</t>
  </si>
  <si>
    <t>Scandinavian Tobacco Group</t>
  </si>
  <si>
    <t>all groups</t>
  </si>
  <si>
    <t>base 2011</t>
  </si>
  <si>
    <t>millions standard cigarettes</t>
  </si>
  <si>
    <t>Tobacco Used</t>
  </si>
  <si>
    <t xml:space="preserve"> Tables A to E</t>
  </si>
  <si>
    <t>all other</t>
  </si>
  <si>
    <t>not avail</t>
  </si>
  <si>
    <t>Tobacco used in manufactured cigarettes per adult aged 15 years and over, whether smoker or not.</t>
  </si>
  <si>
    <t>Released per adult age 15 and over, millions of cigarettes.</t>
  </si>
  <si>
    <t>All others  totalled</t>
  </si>
  <si>
    <t>Tonnes used</t>
  </si>
  <si>
    <t>Used per adult</t>
  </si>
  <si>
    <t>Source</t>
  </si>
  <si>
    <t>Total dry tobacco for latest year is shown in Table A3</t>
  </si>
  <si>
    <t>Tax paid data 1990-2009, then from 2010 onwards copied from sales per adult in col f</t>
  </si>
  <si>
    <t>For 1990 to 2009, this table is based on excise-paid volumes (cols a to h)</t>
  </si>
  <si>
    <t>(cols a to i)</t>
  </si>
  <si>
    <t xml:space="preserve">From 1996 total sales of standard cigarettes per adult from current and past Returns </t>
  </si>
  <si>
    <t xml:space="preserve">RYO tobacco sold </t>
  </si>
  <si>
    <t>Manufactured cigarettes sold</t>
  </si>
  <si>
    <t xml:space="preserve"> RYO tobacco sold, standard cigarettes</t>
  </si>
  <si>
    <t>Manufactured cigarettes sold per adult</t>
  </si>
  <si>
    <t>RYO standard cigarettes 0.7 g  sold per per adult</t>
  </si>
  <si>
    <t xml:space="preserve">Total standard cigarettes per adult </t>
  </si>
  <si>
    <t xml:space="preserve">E7. Manufacturers' reported sales of standard cigarettes      </t>
  </si>
  <si>
    <t>units</t>
  </si>
  <si>
    <t>c=b / 0.7</t>
  </si>
  <si>
    <t>a /pop15+</t>
  </si>
  <si>
    <t>d=a+c</t>
  </si>
  <si>
    <t>1990-2011</t>
  </si>
  <si>
    <t>Some 1990 values underreported or not reported.</t>
  </si>
  <si>
    <t>FM = factory made</t>
  </si>
  <si>
    <t xml:space="preserve">Cigarettes  </t>
  </si>
  <si>
    <t>sales FM</t>
  </si>
  <si>
    <t>Reef Lagoon</t>
  </si>
  <si>
    <t>Reef Coral</t>
  </si>
  <si>
    <t>Bali Shag Blue Halfzware</t>
  </si>
  <si>
    <t xml:space="preserve">Bali Shag Nature </t>
  </si>
  <si>
    <t xml:space="preserve">Bali Shag Red/Round Virginia </t>
  </si>
  <si>
    <t>Cherry Liquer</t>
  </si>
  <si>
    <t xml:space="preserve">Original </t>
  </si>
  <si>
    <t xml:space="preserve">Mixture </t>
  </si>
  <si>
    <t>Pipe tobacco sales</t>
  </si>
  <si>
    <t>tonnes sold</t>
  </si>
  <si>
    <t>Pipe and cigars 4 g per pipe, 2 g per cigar</t>
  </si>
  <si>
    <t>RYO= Roll your own cigarette tobacco</t>
  </si>
  <si>
    <t xml:space="preserve">Cigars sales  </t>
  </si>
  <si>
    <t xml:space="preserve">Pipe tobacco </t>
  </si>
  <si>
    <t>All loose tobacco</t>
  </si>
  <si>
    <t>Excise -paid, released</t>
  </si>
  <si>
    <t xml:space="preserve">Comment </t>
  </si>
  <si>
    <t>From Table C. tobacco used/ no of cigarettes.For 2011 value does not reflect tobacco/cigarette</t>
  </si>
  <si>
    <t xml:space="preserve">If 13% additives are used to make a 30 g pouch of tobacco, that is equal to 4.g per pouch. </t>
  </si>
  <si>
    <t>In 2011, 89 tonnes of additives were used in making cigarette tobacco.</t>
  </si>
  <si>
    <t>Blue20LEP Escape</t>
  </si>
  <si>
    <t>In the case of nicotine, tar and CO, reported results are in bold, and attributed results to similar variants, in non-bold.</t>
  </si>
  <si>
    <t xml:space="preserve"> Blue?Original</t>
  </si>
  <si>
    <t>Panda (yellow)</t>
  </si>
  <si>
    <t>BAT+Imperial +Philip Morris</t>
  </si>
  <si>
    <t>Superkings&amp;Camel, Classic</t>
  </si>
  <si>
    <t>Davidoff etc</t>
  </si>
  <si>
    <t>Totals in bold in col I refers to total volume sales of each brand group.</t>
  </si>
  <si>
    <t xml:space="preserve">I.2          Pipe tobacco sales </t>
  </si>
  <si>
    <t>Reason</t>
  </si>
  <si>
    <t>Pipe sales include very small sales of waterpipe tobacco.</t>
  </si>
  <si>
    <t xml:space="preserve">   g</t>
  </si>
  <si>
    <t xml:space="preserve">   h</t>
  </si>
  <si>
    <t xml:space="preserve">   j </t>
  </si>
  <si>
    <t xml:space="preserve">   k</t>
  </si>
  <si>
    <t xml:space="preserve">   a</t>
  </si>
  <si>
    <t xml:space="preserve"> From 2010, col e (tax paid released) uses manufacturers reported sales from Tables G and I</t>
  </si>
  <si>
    <t>Price</t>
  </si>
  <si>
    <t>RRP/pack</t>
  </si>
  <si>
    <t xml:space="preserve">$ /stick </t>
  </si>
  <si>
    <t xml:space="preserve">Imperial brands </t>
  </si>
  <si>
    <t>formerly Wills or BAT (Petone) brands:</t>
  </si>
  <si>
    <t>2011$</t>
  </si>
  <si>
    <t xml:space="preserve">Consumer price index, 2011 value = 1001. From www.statistics.co.nz </t>
  </si>
  <si>
    <t>RYO Tobacco</t>
  </si>
  <si>
    <t>Source:</t>
  </si>
  <si>
    <t xml:space="preserve">Amendments to Schedule 3, Customs Act 1996. and Customs website www.customs.govt.nz </t>
  </si>
  <si>
    <t>g/pack</t>
  </si>
  <si>
    <t xml:space="preserve">Total standard cigarettes </t>
  </si>
  <si>
    <t>Brand variant count</t>
  </si>
  <si>
    <t>weighted price of 1 FM cigarette and a 1 g RYO cigarette; for sales-weighted standard cigarettes in 2011, price was $0.66.</t>
  </si>
  <si>
    <t>Average price = reported sales divided by RRP. From Tables G and I1, final rows. The price reflects sales</t>
  </si>
  <si>
    <t>Trade share of final cigarette price after subtraction of excise and GST.</t>
  </si>
  <si>
    <t>STG</t>
  </si>
  <si>
    <t>Excise and excise-equivalent duties table effective from 1 Jan 2012.</t>
  </si>
  <si>
    <t>2010-12</t>
  </si>
  <si>
    <t>2009-11</t>
  </si>
  <si>
    <t>real</t>
  </si>
  <si>
    <t>At 2011 prices. For CPI deflator see Table H4.</t>
  </si>
  <si>
    <t>%</t>
  </si>
  <si>
    <t>Excise per cigarette,  sales-weighted for different rates of excise for RYOs and factory made cigarettes. Based on 1 RYO=1 g.</t>
  </si>
  <si>
    <t>One gram of RYO is counted as one cigarette in this table.</t>
  </si>
  <si>
    <t>A line has been drawn between 2009 and 2010 to indicate that tax paid data was used</t>
  </si>
  <si>
    <t xml:space="preserve"> and sales weighted tar, nicotine and carbon monoxide</t>
  </si>
  <si>
    <t>Manufacturers' returns of retail volume sales. From Table E3. Should approximate to e in the long run.</t>
  </si>
  <si>
    <t>Pacific Cigar Co = Havana House Cigars.</t>
  </si>
  <si>
    <t>DFS Galleria sales including circa 13 million cigarettes were duty free and are not included here.</t>
  </si>
  <si>
    <t>Total no. of sttandard cigarettes smoked annually per adult per year</t>
  </si>
  <si>
    <t>Tobacco  moist per manufact-ured cigarette, grams  Table C</t>
  </si>
  <si>
    <t>Total number of standard cigarettes sold millions</t>
  </si>
  <si>
    <t>RYO 0.7g</t>
  </si>
  <si>
    <t>FM</t>
  </si>
  <si>
    <t>FM=factory made, RYO = roll-your-own</t>
  </si>
  <si>
    <t>Legislated increases to equalise excise rates</t>
  </si>
  <si>
    <t>Legislated 10% increase, with inflation adjustment</t>
  </si>
  <si>
    <t>$/cig</t>
  </si>
  <si>
    <t>tar</t>
  </si>
  <si>
    <t>tar/nic</t>
  </si>
  <si>
    <t>nicotine</t>
  </si>
  <si>
    <t>h=f * i</t>
  </si>
  <si>
    <t>Excise rates</t>
  </si>
  <si>
    <t>Excise % changes</t>
  </si>
  <si>
    <t>British American Tobacco</t>
  </si>
  <si>
    <t>Table G. Manufactured cigarettes 2012; smoke tests, volume sales, prices, and $ sales, by brand</t>
  </si>
  <si>
    <t>Smoke machine tests reported for 2012</t>
  </si>
  <si>
    <t>2012</t>
  </si>
  <si>
    <t>RRP 2012</t>
  </si>
  <si>
    <t>Release chilled</t>
  </si>
  <si>
    <t>Switch</t>
  </si>
  <si>
    <t>Blonde</t>
  </si>
  <si>
    <t>Cameo</t>
  </si>
  <si>
    <t>red full taste SP</t>
  </si>
  <si>
    <t>blue full taste SP</t>
  </si>
  <si>
    <t>green full taste SP</t>
  </si>
  <si>
    <t>Max KS</t>
  </si>
  <si>
    <t>2012 RRP</t>
  </si>
  <si>
    <t xml:space="preserve"> "2012 RRP</t>
  </si>
  <si>
    <t>Imperial total</t>
  </si>
  <si>
    <t xml:space="preserve">Djarum </t>
  </si>
  <si>
    <t>regular</t>
  </si>
  <si>
    <t>Blenders batch</t>
  </si>
  <si>
    <t>Dom</t>
  </si>
  <si>
    <t>JPS Red Plus</t>
  </si>
  <si>
    <t xml:space="preserve">Riverstone </t>
  </si>
  <si>
    <t>whiskey</t>
  </si>
  <si>
    <t>Amphora Pipe</t>
  </si>
  <si>
    <t>rum?</t>
  </si>
  <si>
    <t>Reef Virginia</t>
  </si>
  <si>
    <t>Colts Virginia</t>
  </si>
  <si>
    <t>Colts American Blend</t>
  </si>
  <si>
    <t xml:space="preserve">Organic </t>
  </si>
  <si>
    <t>Double Happiness HP or SP</t>
  </si>
  <si>
    <t>7 R&amp;S King Ltd</t>
  </si>
  <si>
    <t>Djarum Black</t>
  </si>
  <si>
    <t>Djarum Super</t>
  </si>
  <si>
    <t>Stuart Alexander /JTI</t>
  </si>
  <si>
    <t xml:space="preserve">Cosmic </t>
  </si>
  <si>
    <t>Cosmic Ltd</t>
  </si>
  <si>
    <t>2012 sales</t>
  </si>
  <si>
    <t>R&amp;S Kings</t>
  </si>
  <si>
    <t>Knight</t>
  </si>
  <si>
    <t xml:space="preserve">Sunny's </t>
  </si>
  <si>
    <t xml:space="preserve">Nicky's </t>
  </si>
  <si>
    <t>menthol</t>
  </si>
  <si>
    <t>2011-12</t>
  </si>
  <si>
    <t>Roll-your own tobacco  (Table D1),         g / adult</t>
  </si>
  <si>
    <t>2011-12*</t>
  </si>
  <si>
    <t>1990-12*</t>
  </si>
  <si>
    <t>2000-12</t>
  </si>
  <si>
    <t>Kohlhase</t>
  </si>
  <si>
    <t xml:space="preserve">          </t>
  </si>
  <si>
    <t>Davidoff</t>
  </si>
  <si>
    <t>Cool blue</t>
  </si>
  <si>
    <t>Mild red</t>
  </si>
  <si>
    <t>Light green</t>
  </si>
  <si>
    <t>Danish mix</t>
  </si>
  <si>
    <t>English mix</t>
  </si>
  <si>
    <t>Royalty mix</t>
  </si>
  <si>
    <t>Scottish mix</t>
  </si>
  <si>
    <t>Imperial Tobacco NZ</t>
  </si>
  <si>
    <t>NZDF-Camel</t>
  </si>
  <si>
    <t>NZDF-Horizon Filter</t>
  </si>
  <si>
    <t>Brand Name</t>
  </si>
  <si>
    <t>NZDF-Horizon Menthol</t>
  </si>
  <si>
    <t>NZDF-Horizon Mellow</t>
  </si>
  <si>
    <t>NZDF-John Brandon</t>
  </si>
  <si>
    <t>NZDF-Peter Stuy Filter</t>
  </si>
  <si>
    <t>NZDF_Peter Stuy Classic</t>
  </si>
  <si>
    <t>NZDF-Peter Stuy FINE</t>
  </si>
  <si>
    <t>NZDF-Peter Stuy Classic</t>
  </si>
  <si>
    <t>NZDF-Peter Jackson Filter</t>
  </si>
  <si>
    <t>NZDF-Peter Jackson Gold</t>
  </si>
  <si>
    <t xml:space="preserve">NZDF-Peter Jackson Filter </t>
  </si>
  <si>
    <t>NZDF-JPS Red</t>
  </si>
  <si>
    <t>NZDF-JPS Blue</t>
  </si>
  <si>
    <t>NZDF-JPS Green</t>
  </si>
  <si>
    <t>NZDF-Davidoff Clasic</t>
  </si>
  <si>
    <t>NZDF-Davidoff Gold</t>
  </si>
  <si>
    <t>Benson &amp; Hedges Classic</t>
  </si>
  <si>
    <t>Benson &amp; Hedges Rich</t>
  </si>
  <si>
    <t>Benson &amp; Hedges Subtle</t>
  </si>
  <si>
    <t>Dunhill Refined</t>
  </si>
  <si>
    <t>Dunhill Chilled</t>
  </si>
  <si>
    <t>Dunhill Release Chilled</t>
  </si>
  <si>
    <t>Dunhill Premier</t>
  </si>
  <si>
    <t>Dunhill Distinct</t>
  </si>
  <si>
    <t>Dunhill Fine Navy Cut</t>
  </si>
  <si>
    <t>Dunhill Fine Cut White</t>
  </si>
  <si>
    <t>Dunhill Nanocut Burgundy</t>
  </si>
  <si>
    <t>Dunhill Nanocut White</t>
  </si>
  <si>
    <t xml:space="preserve">Holiday Red </t>
  </si>
  <si>
    <t>Holiday Blue</t>
  </si>
  <si>
    <t>Holiday Green</t>
  </si>
  <si>
    <t>Kent Infina</t>
  </si>
  <si>
    <t>Lucky Strike O.Red</t>
  </si>
  <si>
    <t>Lucky Strike O.Silver</t>
  </si>
  <si>
    <t>Pall Mall Red</t>
  </si>
  <si>
    <t>Pall Mall Blue</t>
  </si>
  <si>
    <t>PallMallGreen</t>
  </si>
  <si>
    <t>Rothmans King Size</t>
  </si>
  <si>
    <t>State Express 555Gold</t>
  </si>
  <si>
    <t>Winfield Red</t>
  </si>
  <si>
    <t>Winfield Blue</t>
  </si>
  <si>
    <t>Winfield Green</t>
  </si>
  <si>
    <t>Winfield Gold</t>
  </si>
  <si>
    <t>Vogue Superslim Bleu</t>
  </si>
  <si>
    <t>Vogue Superslim Menthe</t>
  </si>
  <si>
    <t>Sales$000</t>
  </si>
  <si>
    <t>omitting delisted brands</t>
  </si>
  <si>
    <t>sales 000's</t>
  </si>
  <si>
    <t>($)/carton</t>
  </si>
  <si>
    <t>1990-12</t>
  </si>
  <si>
    <t>Tobacco used, by firms; tonnes 2012</t>
  </si>
  <si>
    <t>Sales in millions of sticks or tonnes of smoking tobacco, by firms 2012</t>
  </si>
  <si>
    <t>Table A. Firms' tobacco use and sales,  by tobacco product class, 2012</t>
  </si>
  <si>
    <t>2.017billion sticks</t>
  </si>
  <si>
    <t>Cigars and other tobacco</t>
  </si>
  <si>
    <t>Table I. Hand-rolling tobacco and pipe tobacco sales, 2012</t>
  </si>
  <si>
    <t>Tobacco used in cigars, 1990-2012, including cigarillos</t>
  </si>
  <si>
    <t>Tobacco used in all products, 1990-2012</t>
  </si>
  <si>
    <t>Table C. Tobacco used in manufactured cigarettes, 1990-2012</t>
  </si>
  <si>
    <t>based on Table E3.</t>
  </si>
  <si>
    <t xml:space="preserve">E6. Total number of standard cigarettes smoked in total and per adult    </t>
  </si>
  <si>
    <t>*Additives as a % of tobacco used for cigars</t>
  </si>
  <si>
    <t xml:space="preserve">Where usage data is not reported, as with smaller importers, sales data is reported. </t>
  </si>
  <si>
    <t>11 Havana House</t>
  </si>
  <si>
    <t>discontinued</t>
  </si>
  <si>
    <t>by Statistics</t>
  </si>
  <si>
    <t>NZ</t>
  </si>
  <si>
    <t>of tob used</t>
  </si>
  <si>
    <t>At 0.67%, an average cigarette of 700 mg tobacco would contain 4.7 mg additives before lighting.</t>
  </si>
  <si>
    <t>The percentage in cigarettes remains low.</t>
  </si>
  <si>
    <t>*Weight as a % of additives is based on Table B2, traditionally estimated, 1 RYO= 1.0 g tobacco.</t>
  </si>
  <si>
    <t xml:space="preserve">For % by weight of manufactured cigarettes, we assume 0.7 g tobacco  from 2010 onwards. </t>
  </si>
  <si>
    <t>Traditionally estimated (ignoring the lines for standard cigarettes)</t>
  </si>
  <si>
    <t>From 2010, based on cigarette sales in Table G, also summarised in Table A1.</t>
  </si>
  <si>
    <t>e/pop15+</t>
  </si>
  <si>
    <t>Per adult RYO sales in 2012 were the lowest recorded since measurements began.</t>
  </si>
  <si>
    <t xml:space="preserve">Tobacco used, by firm; tonnes, 1990-2012. </t>
  </si>
  <si>
    <t>Source: Table A3.</t>
  </si>
  <si>
    <t>Source: Table G.</t>
  </si>
  <si>
    <t>Tobacco product classes by tobacco usage 1990-2012</t>
  </si>
  <si>
    <t>prior to 2010. For trends based on Returns data, see Table 7, col f, below.</t>
  </si>
  <si>
    <t>H. 4. The total cigarette market, 1990-2012 in constant (2011) dollars</t>
  </si>
  <si>
    <t>GST increased from 12.5% to 15% on 1 Oct 2010.</t>
  </si>
  <si>
    <t>Revenue from excise is based on tax paid sales (col e), and for 2010-12, directly from Treasury revenue.</t>
  </si>
  <si>
    <t>Prices and taxes sales weighted to include RYO cigarettes taxed and priced at 1g per cigarette</t>
  </si>
  <si>
    <t>H 3.  The total cigarette market, 1990-2012 in current dollars</t>
  </si>
  <si>
    <t>1990-2000</t>
  </si>
  <si>
    <t>c /pop15+</t>
  </si>
  <si>
    <t>g=e+f</t>
  </si>
  <si>
    <t>From 1990-2004, from Tables H1 and H2; from 2005 from www.treasury.govt.nz Tax outturn data for Revenue.</t>
  </si>
  <si>
    <t>c = b/g</t>
  </si>
  <si>
    <t>millions cigarettes</t>
  </si>
  <si>
    <t>In 2012, additives in RYO tobacco comprised 90% of all additives reported for all tobacco products.</t>
  </si>
  <si>
    <t>2012 "other" reports include NZTobacco Group and JTI. STG did not report amount added.</t>
  </si>
  <si>
    <t>The 0.372 tonnes of additives in 2012 were reported by STG.</t>
  </si>
  <si>
    <t>2000-10</t>
  </si>
  <si>
    <t xml:space="preserve">No duty free sales of pipe tobacco were recorded. </t>
  </si>
  <si>
    <t>Tables F 1 to F4. Weight of Additives used, 1990-2012</t>
  </si>
  <si>
    <t xml:space="preserve">As with cigarette tobacco, additives amounted to around 15% of moist weight of the tobacco. </t>
  </si>
  <si>
    <t>In 2011, STG which replaced Swedish Match did not report tonnage of additives used.</t>
  </si>
  <si>
    <t>For pre-1999 data read Rothmans for BAT, Wills for Imperial.</t>
  </si>
  <si>
    <t xml:space="preserve">Note: </t>
  </si>
  <si>
    <t>The dry weight of tobacco used in manufacture was estimated after subtracting moisture as above.</t>
  </si>
  <si>
    <t>**No return from PM; 2002 value used.  In many years, undereporting.</t>
  </si>
  <si>
    <t>Sales /adult derived from Tables H4, B1, B2</t>
  </si>
  <si>
    <t xml:space="preserve">Used in all </t>
  </si>
  <si>
    <t xml:space="preserve">                  dry weight</t>
  </si>
  <si>
    <t>Adult population: see Table B2.</t>
  </si>
  <si>
    <t>Value for 2011-12  for col g is abnormally high by this method.</t>
  </si>
  <si>
    <t xml:space="preserve"> Tobacco used, all firms</t>
  </si>
  <si>
    <t xml:space="preserve">Duty free data  not included.  </t>
  </si>
  <si>
    <t>Table D1</t>
  </si>
  <si>
    <t>Table C,G</t>
  </si>
  <si>
    <t>Brand variants without recorded sales for the year were deleted.</t>
  </si>
  <si>
    <t>Original SilverHP,SP</t>
  </si>
  <si>
    <t>As % extra to duty-paid sales volumes</t>
  </si>
  <si>
    <t>sale price</t>
  </si>
  <si>
    <t xml:space="preserve">Total cigarettes sold duty-free </t>
  </si>
  <si>
    <t xml:space="preserve">BAT NZ  </t>
  </si>
  <si>
    <t>$  / g</t>
  </si>
  <si>
    <t>Supers</t>
  </si>
  <si>
    <t>Cigarette prices, sales, and taxation, 1990-2012</t>
  </si>
  <si>
    <t xml:space="preserve">          sticks/carton</t>
  </si>
  <si>
    <t>Brand variant count, pipe tobacco</t>
  </si>
  <si>
    <t>Brand variant count  RYOs</t>
  </si>
  <si>
    <t>DUTY-FREE SALES 2012</t>
  </si>
  <si>
    <t>All companies, Duty-free totals</t>
  </si>
  <si>
    <t xml:space="preserve"> $/ pack</t>
  </si>
  <si>
    <t>'000 sticks</t>
  </si>
  <si>
    <t>KSF 2/25</t>
  </si>
  <si>
    <t>$1.45 bln</t>
  </si>
  <si>
    <t>All brands were priced at 2012 prices. BAT supplied Jan 1, 2012 RRPs in the previous year's returns.</t>
  </si>
  <si>
    <t>millions standard RYOs</t>
  </si>
  <si>
    <t>Marlboro Gold Original King size hard pack</t>
  </si>
  <si>
    <t>Longbeach Filter King size hard pack</t>
  </si>
  <si>
    <t>Longbeach original flavour King size hard pack</t>
  </si>
  <si>
    <t>Longbeach Rich Flavour King size hard pack</t>
  </si>
  <si>
    <t>Longbeach Menthol King size hard pack</t>
  </si>
  <si>
    <t>L&amp;M filter King size hard pack</t>
  </si>
  <si>
    <t xml:space="preserve">Marlboro Red King size hard pack  </t>
  </si>
  <si>
    <t>Philip Morris Dutyfree</t>
  </si>
  <si>
    <t>Marlboro White Mentho Kingsize hard pack</t>
  </si>
  <si>
    <t>jan-jun</t>
  </si>
  <si>
    <t>jul-dec</t>
  </si>
  <si>
    <t xml:space="preserve">PM total </t>
  </si>
  <si>
    <t>price/carton</t>
  </si>
  <si>
    <t>cigs/carton</t>
  </si>
  <si>
    <t>000 sales</t>
  </si>
  <si>
    <t>$000 sales</t>
  </si>
  <si>
    <t>RYO  standard (0.7 g tobacco) as weight fraction of standard cigarettes:</t>
  </si>
  <si>
    <t>percent of dollar sales</t>
  </si>
  <si>
    <t>percent of volume sales</t>
  </si>
  <si>
    <t>dated 30 September 2013</t>
  </si>
  <si>
    <t xml:space="preserve">Price/carton </t>
  </si>
  <si>
    <t>(excluding duty-free)</t>
  </si>
  <si>
    <t>Cigarette tobacco sold by Imperial</t>
  </si>
  <si>
    <t>omitting cigars</t>
  </si>
  <si>
    <t>Kent Futura</t>
  </si>
  <si>
    <t>State Express 555GoldPearl</t>
  </si>
  <si>
    <t>Cost of concession - excise not paid based on excise rates in Table H5.</t>
  </si>
  <si>
    <t>(74 mln)</t>
  </si>
  <si>
    <t>(32 million dollars)</t>
  </si>
  <si>
    <t>(38 mln $)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</si>
</sst>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0.0"/>
    <numFmt numFmtId="166" formatCode="0.000"/>
    <numFmt numFmtId="167" formatCode="0.0%"/>
    <numFmt numFmtId="168" formatCode="0.\1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&quot;$&quot;* #,##0.000_-;\-&quot;$&quot;* #,##0.000_-;_-&quot;$&quot;* &quot;-&quot;??_-;_-@_-"/>
    <numFmt numFmtId="175" formatCode="#,##0.00_ ;\-#,##0.00\ "/>
    <numFmt numFmtId="176" formatCode="_-* #,##0.0_-;\-* #,##0.0_-;_-* &quot;-&quot;??_-;_-@_-"/>
    <numFmt numFmtId="177" formatCode="_-* #,##0_-;\-* #,##0_-;_-* &quot;-&quot;??_-;_-@_-"/>
    <numFmt numFmtId="178" formatCode="#,##0.000_ ;\-#,##0.000\ "/>
    <numFmt numFmtId="179" formatCode="0.000%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lbertus (W1)"/>
      <family val="0"/>
    </font>
    <font>
      <b/>
      <sz val="14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i/>
      <sz val="10"/>
      <name val="Albertus (W1)"/>
      <family val="0"/>
    </font>
    <font>
      <u val="single"/>
      <sz val="10"/>
      <color indexed="12"/>
      <name val="Arial Narrow"/>
      <family val="2"/>
    </font>
    <font>
      <sz val="12"/>
      <name val="Arial"/>
      <family val="2"/>
    </font>
    <font>
      <b/>
      <sz val="12"/>
      <name val="Albertus (W1)"/>
      <family val="0"/>
    </font>
    <font>
      <sz val="9"/>
      <name val="Arial"/>
      <family val="2"/>
    </font>
    <font>
      <b/>
      <i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lbertus (W1)"/>
      <family val="0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i/>
      <sz val="12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4"/>
      <color indexed="8"/>
      <name val="Arial"/>
      <family val="0"/>
    </font>
    <font>
      <sz val="8"/>
      <color indexed="8"/>
      <name val="Arial"/>
      <family val="0"/>
    </font>
    <font>
      <sz val="4.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2" borderId="11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3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4" xfId="0" applyFont="1" applyFill="1" applyBorder="1" applyAlignment="1">
      <alignment horizontal="center"/>
    </xf>
    <xf numFmtId="17" fontId="6" fillId="32" borderId="15" xfId="0" applyNumberFormat="1" applyFont="1" applyFill="1" applyBorder="1" applyAlignment="1">
      <alignment horizontal="center"/>
    </xf>
    <xf numFmtId="164" fontId="6" fillId="32" borderId="16" xfId="0" applyNumberFormat="1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17" fontId="6" fillId="32" borderId="0" xfId="0" applyNumberFormat="1" applyFont="1" applyFill="1" applyBorder="1" applyAlignment="1">
      <alignment horizontal="center"/>
    </xf>
    <xf numFmtId="164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32" borderId="16" xfId="0" applyFont="1" applyFill="1" applyBorder="1" applyAlignment="1" quotePrefix="1">
      <alignment horizontal="center"/>
    </xf>
    <xf numFmtId="0" fontId="9" fillId="32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0" fillId="32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10" fillId="0" borderId="17" xfId="0" applyNumberFormat="1" applyFont="1" applyBorder="1" applyAlignment="1">
      <alignment/>
    </xf>
    <xf numFmtId="0" fontId="10" fillId="32" borderId="13" xfId="0" applyFont="1" applyFill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1" fontId="6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1" fontId="6" fillId="0" borderId="18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32" borderId="13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0" fillId="0" borderId="16" xfId="0" applyBorder="1" applyAlignment="1">
      <alignment/>
    </xf>
    <xf numFmtId="0" fontId="11" fillId="32" borderId="13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2" fillId="32" borderId="18" xfId="0" applyFont="1" applyFill="1" applyBorder="1" applyAlignment="1">
      <alignment/>
    </xf>
    <xf numFmtId="0" fontId="6" fillId="32" borderId="20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1" fontId="6" fillId="0" borderId="0" xfId="0" applyNumberFormat="1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8" fillId="32" borderId="1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6" fillId="32" borderId="12" xfId="0" applyFont="1" applyFill="1" applyBorder="1" applyAlignment="1">
      <alignment horizontal="right"/>
    </xf>
    <xf numFmtId="0" fontId="6" fillId="32" borderId="14" xfId="0" applyFont="1" applyFill="1" applyBorder="1" applyAlignment="1">
      <alignment horizontal="right"/>
    </xf>
    <xf numFmtId="167" fontId="12" fillId="0" borderId="10" xfId="0" applyNumberFormat="1" applyFont="1" applyBorder="1" applyAlignment="1">
      <alignment/>
    </xf>
    <xf numFmtId="0" fontId="12" fillId="32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14" fillId="32" borderId="11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1" fontId="14" fillId="32" borderId="13" xfId="0" applyNumberFormat="1" applyFont="1" applyFill="1" applyBorder="1" applyAlignment="1">
      <alignment/>
    </xf>
    <xf numFmtId="2" fontId="10" fillId="32" borderId="0" xfId="0" applyNumberFormat="1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" fontId="14" fillId="32" borderId="15" xfId="0" applyNumberFormat="1" applyFont="1" applyFill="1" applyBorder="1" applyAlignment="1">
      <alignment/>
    </xf>
    <xf numFmtId="2" fontId="10" fillId="32" borderId="16" xfId="0" applyNumberFormat="1" applyFont="1" applyFill="1" applyBorder="1" applyAlignment="1">
      <alignment horizontal="center"/>
    </xf>
    <xf numFmtId="2" fontId="10" fillId="32" borderId="16" xfId="0" applyNumberFormat="1" applyFont="1" applyFill="1" applyBorder="1" applyAlignment="1">
      <alignment/>
    </xf>
    <xf numFmtId="0" fontId="10" fillId="32" borderId="16" xfId="0" applyFont="1" applyFill="1" applyBorder="1" applyAlignment="1">
      <alignment horizontal="center"/>
    </xf>
    <xf numFmtId="1" fontId="3" fillId="32" borderId="11" xfId="0" applyNumberFormat="1" applyFont="1" applyFill="1" applyBorder="1" applyAlignment="1">
      <alignment/>
    </xf>
    <xf numFmtId="2" fontId="15" fillId="32" borderId="18" xfId="0" applyNumberFormat="1" applyFont="1" applyFill="1" applyBorder="1" applyAlignment="1">
      <alignment horizontal="center"/>
    </xf>
    <xf numFmtId="2" fontId="15" fillId="32" borderId="0" xfId="0" applyNumberFormat="1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1" fontId="6" fillId="32" borderId="13" xfId="0" applyNumberFormat="1" applyFont="1" applyFill="1" applyBorder="1" applyAlignment="1">
      <alignment/>
    </xf>
    <xf numFmtId="1" fontId="12" fillId="32" borderId="19" xfId="0" applyNumberFormat="1" applyFont="1" applyFill="1" applyBorder="1" applyAlignment="1">
      <alignment horizontal="right"/>
    </xf>
    <xf numFmtId="9" fontId="12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6" fillId="0" borderId="0" xfId="53" applyFont="1" applyBorder="1" applyAlignment="1" applyProtection="1">
      <alignment/>
      <protection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10" fillId="32" borderId="10" xfId="0" applyNumberFormat="1" applyFont="1" applyFill="1" applyBorder="1" applyAlignment="1">
      <alignment horizontal="center"/>
    </xf>
    <xf numFmtId="1" fontId="15" fillId="32" borderId="13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9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10" fillId="32" borderId="16" xfId="0" applyFont="1" applyFill="1" applyBorder="1" applyAlignment="1">
      <alignment horizontal="left"/>
    </xf>
    <xf numFmtId="1" fontId="3" fillId="32" borderId="13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1" fontId="6" fillId="32" borderId="11" xfId="61" applyNumberFormat="1" applyFont="1" applyFill="1" applyBorder="1">
      <alignment/>
      <protection/>
    </xf>
    <xf numFmtId="2" fontId="6" fillId="0" borderId="18" xfId="61" applyNumberFormat="1" applyFont="1" applyBorder="1">
      <alignment/>
      <protection/>
    </xf>
    <xf numFmtId="2" fontId="6" fillId="0" borderId="0" xfId="61" applyNumberFormat="1" applyFont="1" applyBorder="1">
      <alignment/>
      <protection/>
    </xf>
    <xf numFmtId="1" fontId="6" fillId="0" borderId="18" xfId="61" applyNumberFormat="1" applyFont="1" applyBorder="1">
      <alignment/>
      <protection/>
    </xf>
    <xf numFmtId="1" fontId="6" fillId="0" borderId="16" xfId="61" applyNumberFormat="1" applyFont="1" applyBorder="1">
      <alignment/>
      <protection/>
    </xf>
    <xf numFmtId="1" fontId="6" fillId="32" borderId="13" xfId="61" applyNumberFormat="1" applyFont="1" applyFill="1" applyBorder="1">
      <alignment/>
      <protection/>
    </xf>
    <xf numFmtId="1" fontId="6" fillId="0" borderId="0" xfId="61" applyNumberFormat="1" applyFont="1" applyBorder="1">
      <alignment/>
      <protection/>
    </xf>
    <xf numFmtId="166" fontId="6" fillId="0" borderId="0" xfId="0" applyNumberFormat="1" applyFont="1" applyBorder="1" applyAlignment="1">
      <alignment/>
    </xf>
    <xf numFmtId="1" fontId="12" fillId="32" borderId="19" xfId="61" applyNumberFormat="1" applyFont="1" applyFill="1" applyBorder="1" applyAlignment="1">
      <alignment horizontal="right"/>
      <protection/>
    </xf>
    <xf numFmtId="9" fontId="12" fillId="0" borderId="18" xfId="61" applyNumberFormat="1" applyFont="1" applyBorder="1">
      <alignment/>
      <protection/>
    </xf>
    <xf numFmtId="1" fontId="12" fillId="0" borderId="0" xfId="61" applyNumberFormat="1" applyFont="1" applyFill="1" applyBorder="1">
      <alignment/>
      <protection/>
    </xf>
    <xf numFmtId="9" fontId="6" fillId="0" borderId="0" xfId="61" applyNumberFormat="1" applyFont="1" applyBorder="1">
      <alignment/>
      <protection/>
    </xf>
    <xf numFmtId="167" fontId="6" fillId="0" borderId="0" xfId="61" applyNumberFormat="1" applyFont="1" applyBorder="1">
      <alignment/>
      <protection/>
    </xf>
    <xf numFmtId="167" fontId="12" fillId="0" borderId="0" xfId="61" applyNumberFormat="1" applyFont="1" applyBorder="1">
      <alignment/>
      <protection/>
    </xf>
    <xf numFmtId="9" fontId="12" fillId="0" borderId="0" xfId="61" applyNumberFormat="1" applyFont="1" applyBorder="1">
      <alignment/>
      <protection/>
    </xf>
    <xf numFmtId="1" fontId="6" fillId="0" borderId="0" xfId="61" applyNumberFormat="1" applyFont="1" applyFill="1" applyBorder="1">
      <alignment/>
      <protection/>
    </xf>
    <xf numFmtId="0" fontId="6" fillId="0" borderId="0" xfId="61" applyFont="1">
      <alignment/>
      <protection/>
    </xf>
    <xf numFmtId="1" fontId="5" fillId="0" borderId="0" xfId="61" applyNumberFormat="1" applyFont="1" applyFill="1" applyBorder="1">
      <alignment/>
      <protection/>
    </xf>
    <xf numFmtId="2" fontId="5" fillId="0" borderId="0" xfId="61" applyNumberFormat="1" applyFont="1" applyFill="1" applyBorder="1">
      <alignment/>
      <protection/>
    </xf>
    <xf numFmtId="2" fontId="17" fillId="0" borderId="0" xfId="61" applyNumberFormat="1" applyFont="1" applyFill="1" applyBorder="1">
      <alignment/>
      <protection/>
    </xf>
    <xf numFmtId="2" fontId="17" fillId="0" borderId="0" xfId="61" applyNumberFormat="1" applyFont="1" applyFill="1">
      <alignment/>
      <protection/>
    </xf>
    <xf numFmtId="9" fontId="5" fillId="0" borderId="0" xfId="61" applyNumberFormat="1" applyFont="1" applyBorder="1">
      <alignment/>
      <protection/>
    </xf>
    <xf numFmtId="9" fontId="17" fillId="0" borderId="0" xfId="61" applyNumberFormat="1" applyFont="1" applyBorder="1">
      <alignment/>
      <protection/>
    </xf>
    <xf numFmtId="0" fontId="10" fillId="32" borderId="1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1" fontId="13" fillId="32" borderId="15" xfId="61" applyNumberFormat="1" applyFont="1" applyFill="1" applyBorder="1" applyAlignment="1">
      <alignment horizontal="center"/>
      <protection/>
    </xf>
    <xf numFmtId="2" fontId="15" fillId="32" borderId="10" xfId="0" applyNumberFormat="1" applyFont="1" applyFill="1" applyBorder="1" applyAlignment="1">
      <alignment horizontal="center"/>
    </xf>
    <xf numFmtId="166" fontId="6" fillId="0" borderId="18" xfId="61" applyNumberFormat="1" applyFont="1" applyBorder="1">
      <alignment/>
      <protection/>
    </xf>
    <xf numFmtId="1" fontId="6" fillId="0" borderId="10" xfId="61" applyNumberFormat="1" applyFont="1" applyBorder="1">
      <alignment/>
      <protection/>
    </xf>
    <xf numFmtId="1" fontId="12" fillId="32" borderId="11" xfId="0" applyNumberFormat="1" applyFont="1" applyFill="1" applyBorder="1" applyAlignment="1">
      <alignment horizontal="right"/>
    </xf>
    <xf numFmtId="1" fontId="12" fillId="32" borderId="15" xfId="61" applyNumberFormat="1" applyFont="1" applyFill="1" applyBorder="1" applyAlignment="1">
      <alignment horizontal="right"/>
      <protection/>
    </xf>
    <xf numFmtId="0" fontId="16" fillId="0" borderId="0" xfId="53" applyFont="1" applyAlignment="1" applyProtection="1">
      <alignment/>
      <protection/>
    </xf>
    <xf numFmtId="0" fontId="18" fillId="0" borderId="0" xfId="60" applyFont="1">
      <alignment/>
      <protection/>
    </xf>
    <xf numFmtId="0" fontId="3" fillId="0" borderId="0" xfId="60">
      <alignment/>
      <protection/>
    </xf>
    <xf numFmtId="0" fontId="9" fillId="0" borderId="0" xfId="60" applyFont="1" applyFill="1" applyBorder="1" applyAlignment="1">
      <alignment horizontal="left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8" fillId="32" borderId="11" xfId="60" applyFont="1" applyFill="1" applyBorder="1">
      <alignment/>
      <protection/>
    </xf>
    <xf numFmtId="0" fontId="6" fillId="32" borderId="10" xfId="60" applyFont="1" applyFill="1" applyBorder="1">
      <alignment/>
      <protection/>
    </xf>
    <xf numFmtId="0" fontId="8" fillId="32" borderId="15" xfId="60" applyFont="1" applyFill="1" applyBorder="1" applyAlignment="1">
      <alignment horizontal="center"/>
      <protection/>
    </xf>
    <xf numFmtId="0" fontId="8" fillId="32" borderId="16" xfId="60" applyFont="1" applyFill="1" applyBorder="1" applyAlignment="1">
      <alignment horizontal="center"/>
      <protection/>
    </xf>
    <xf numFmtId="0" fontId="6" fillId="32" borderId="16" xfId="60" applyFont="1" applyFill="1" applyBorder="1">
      <alignment/>
      <protection/>
    </xf>
    <xf numFmtId="0" fontId="6" fillId="32" borderId="21" xfId="60" applyFont="1" applyFill="1" applyBorder="1" applyAlignment="1">
      <alignment/>
      <protection/>
    </xf>
    <xf numFmtId="2" fontId="10" fillId="32" borderId="16" xfId="60" applyNumberFormat="1" applyFont="1" applyFill="1" applyBorder="1" applyAlignment="1">
      <alignment horizontal="center"/>
      <protection/>
    </xf>
    <xf numFmtId="0" fontId="10" fillId="32" borderId="15" xfId="60" applyFont="1" applyFill="1" applyBorder="1" applyAlignment="1">
      <alignment/>
      <protection/>
    </xf>
    <xf numFmtId="0" fontId="8" fillId="32" borderId="13" xfId="60" applyFont="1" applyFill="1" applyBorder="1">
      <alignment/>
      <protection/>
    </xf>
    <xf numFmtId="0" fontId="6" fillId="32" borderId="0" xfId="60" applyFont="1" applyFill="1" applyBorder="1">
      <alignment/>
      <protection/>
    </xf>
    <xf numFmtId="0" fontId="6" fillId="32" borderId="17" xfId="60" applyFont="1" applyFill="1" applyBorder="1" applyAlignment="1">
      <alignment horizontal="center"/>
      <protection/>
    </xf>
    <xf numFmtId="0" fontId="6" fillId="0" borderId="0" xfId="60" applyFont="1" applyBorder="1">
      <alignment/>
      <protection/>
    </xf>
    <xf numFmtId="2" fontId="10" fillId="0" borderId="0" xfId="0" applyNumberFormat="1" applyFont="1" applyBorder="1" applyAlignment="1">
      <alignment/>
    </xf>
    <xf numFmtId="0" fontId="6" fillId="32" borderId="13" xfId="60" applyFont="1" applyFill="1" applyBorder="1">
      <alignment/>
      <protection/>
    </xf>
    <xf numFmtId="0" fontId="6" fillId="32" borderId="15" xfId="60" applyFont="1" applyFill="1" applyBorder="1">
      <alignment/>
      <protection/>
    </xf>
    <xf numFmtId="0" fontId="6" fillId="32" borderId="14" xfId="60" applyFont="1" applyFill="1" applyBorder="1" applyAlignment="1">
      <alignment horizontal="center"/>
      <protection/>
    </xf>
    <xf numFmtId="0" fontId="6" fillId="32" borderId="0" xfId="60" applyFont="1" applyFill="1" applyBorder="1" applyAlignment="1">
      <alignment horizontal="center"/>
      <protection/>
    </xf>
    <xf numFmtId="1" fontId="8" fillId="0" borderId="0" xfId="60" applyNumberFormat="1" applyFont="1" applyBorder="1">
      <alignment/>
      <protection/>
    </xf>
    <xf numFmtId="0" fontId="9" fillId="0" borderId="0" xfId="0" applyFont="1" applyAlignment="1">
      <alignment/>
    </xf>
    <xf numFmtId="0" fontId="8" fillId="32" borderId="15" xfId="60" applyFont="1" applyFill="1" applyBorder="1">
      <alignment/>
      <protection/>
    </xf>
    <xf numFmtId="0" fontId="0" fillId="0" borderId="0" xfId="0" applyFill="1" applyBorder="1" applyAlignment="1">
      <alignment/>
    </xf>
    <xf numFmtId="0" fontId="6" fillId="32" borderId="18" xfId="60" applyFont="1" applyFill="1" applyBorder="1">
      <alignment/>
      <protection/>
    </xf>
    <xf numFmtId="0" fontId="0" fillId="0" borderId="0" xfId="0" applyFont="1" applyAlignment="1">
      <alignment/>
    </xf>
    <xf numFmtId="0" fontId="8" fillId="0" borderId="0" xfId="60" applyFont="1" applyFill="1" applyBorder="1">
      <alignment/>
      <protection/>
    </xf>
    <xf numFmtId="0" fontId="8" fillId="32" borderId="19" xfId="60" applyFont="1" applyFill="1" applyBorder="1">
      <alignment/>
      <protection/>
    </xf>
    <xf numFmtId="0" fontId="6" fillId="32" borderId="20" xfId="60" applyFont="1" applyFill="1" applyBorder="1">
      <alignment/>
      <protection/>
    </xf>
    <xf numFmtId="0" fontId="6" fillId="32" borderId="11" xfId="60" applyFont="1" applyFill="1" applyBorder="1">
      <alignment/>
      <protection/>
    </xf>
    <xf numFmtId="0" fontId="8" fillId="32" borderId="18" xfId="60" applyFont="1" applyFill="1" applyBorder="1">
      <alignment/>
      <protection/>
    </xf>
    <xf numFmtId="1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165" fontId="6" fillId="0" borderId="16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6" fillId="32" borderId="11" xfId="0" applyFont="1" applyFill="1" applyBorder="1" applyAlignment="1" quotePrefix="1">
      <alignment horizontal="center"/>
    </xf>
    <xf numFmtId="1" fontId="6" fillId="32" borderId="15" xfId="0" applyNumberFormat="1" applyFont="1" applyFill="1" applyBorder="1" applyAlignment="1" quotePrefix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58" applyFont="1">
      <alignment/>
      <protection/>
    </xf>
    <xf numFmtId="0" fontId="3" fillId="0" borderId="0" xfId="58">
      <alignment/>
      <protection/>
    </xf>
    <xf numFmtId="0" fontId="3" fillId="33" borderId="0" xfId="58" applyFill="1">
      <alignment/>
      <protection/>
    </xf>
    <xf numFmtId="0" fontId="6" fillId="0" borderId="0" xfId="58" applyFont="1" applyBorder="1">
      <alignment/>
      <protection/>
    </xf>
    <xf numFmtId="165" fontId="3" fillId="0" borderId="0" xfId="58" applyNumberFormat="1" applyBorder="1">
      <alignment/>
      <protection/>
    </xf>
    <xf numFmtId="0" fontId="15" fillId="32" borderId="0" xfId="58" applyFont="1" applyFill="1" applyBorder="1">
      <alignment/>
      <protection/>
    </xf>
    <xf numFmtId="167" fontId="3" fillId="0" borderId="22" xfId="58" applyNumberFormat="1" applyBorder="1">
      <alignment/>
      <protection/>
    </xf>
    <xf numFmtId="0" fontId="3" fillId="0" borderId="13" xfId="58" applyFill="1" applyBorder="1">
      <alignment/>
      <protection/>
    </xf>
    <xf numFmtId="0" fontId="15" fillId="32" borderId="13" xfId="58" applyFont="1" applyFill="1" applyBorder="1">
      <alignment/>
      <protection/>
    </xf>
    <xf numFmtId="2" fontId="3" fillId="0" borderId="0" xfId="58" applyNumberFormat="1" applyFont="1" applyBorder="1">
      <alignment/>
      <protection/>
    </xf>
    <xf numFmtId="0" fontId="3" fillId="0" borderId="0" xfId="58" applyBorder="1">
      <alignment/>
      <protection/>
    </xf>
    <xf numFmtId="0" fontId="3" fillId="0" borderId="13" xfId="58" applyFont="1" applyBorder="1">
      <alignment/>
      <protection/>
    </xf>
    <xf numFmtId="0" fontId="15" fillId="32" borderId="22" xfId="58" applyFont="1" applyFill="1" applyBorder="1">
      <alignment/>
      <protection/>
    </xf>
    <xf numFmtId="0" fontId="3" fillId="0" borderId="13" xfId="58" applyBorder="1">
      <alignment/>
      <protection/>
    </xf>
    <xf numFmtId="2" fontId="3" fillId="0" borderId="0" xfId="58" applyNumberFormat="1" applyBorder="1">
      <alignment/>
      <protection/>
    </xf>
    <xf numFmtId="165" fontId="3" fillId="0" borderId="13" xfId="58" applyNumberFormat="1" applyBorder="1">
      <alignment/>
      <protection/>
    </xf>
    <xf numFmtId="0" fontId="12" fillId="32" borderId="21" xfId="58" applyFont="1" applyFill="1" applyBorder="1">
      <alignment/>
      <protection/>
    </xf>
    <xf numFmtId="0" fontId="12" fillId="32" borderId="21" xfId="58" applyFont="1" applyFill="1" applyBorder="1" applyAlignment="1">
      <alignment horizontal="center"/>
      <protection/>
    </xf>
    <xf numFmtId="0" fontId="12" fillId="32" borderId="16" xfId="58" applyFont="1" applyFill="1" applyBorder="1" applyAlignment="1">
      <alignment horizontal="center"/>
      <protection/>
    </xf>
    <xf numFmtId="0" fontId="12" fillId="32" borderId="15" xfId="58" applyFont="1" applyFill="1" applyBorder="1" applyAlignment="1">
      <alignment horizontal="center"/>
      <protection/>
    </xf>
    <xf numFmtId="0" fontId="12" fillId="32" borderId="0" xfId="58" applyFont="1" applyFill="1" applyBorder="1">
      <alignment/>
      <protection/>
    </xf>
    <xf numFmtId="0" fontId="12" fillId="32" borderId="23" xfId="58" applyFont="1" applyFill="1" applyBorder="1" applyAlignment="1">
      <alignment horizontal="center"/>
      <protection/>
    </xf>
    <xf numFmtId="0" fontId="12" fillId="32" borderId="23" xfId="58" applyFont="1" applyFill="1" applyBorder="1">
      <alignment/>
      <protection/>
    </xf>
    <xf numFmtId="0" fontId="12" fillId="32" borderId="10" xfId="58" applyFont="1" applyFill="1" applyBorder="1">
      <alignment/>
      <protection/>
    </xf>
    <xf numFmtId="0" fontId="12" fillId="32" borderId="10" xfId="58" applyFont="1" applyFill="1" applyBorder="1" applyAlignment="1">
      <alignment horizontal="center"/>
      <protection/>
    </xf>
    <xf numFmtId="0" fontId="12" fillId="32" borderId="11" xfId="58" applyFont="1" applyFill="1" applyBorder="1" applyAlignment="1">
      <alignment horizontal="center"/>
      <protection/>
    </xf>
    <xf numFmtId="0" fontId="9" fillId="0" borderId="0" xfId="58" applyFont="1">
      <alignment/>
      <protection/>
    </xf>
    <xf numFmtId="0" fontId="9" fillId="0" borderId="16" xfId="58" applyFont="1" applyBorder="1">
      <alignment/>
      <protection/>
    </xf>
    <xf numFmtId="0" fontId="23" fillId="0" borderId="0" xfId="58" applyFont="1" applyBorder="1">
      <alignment/>
      <protection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167" fontId="3" fillId="0" borderId="0" xfId="59" applyNumberFormat="1" applyBorder="1">
      <alignment/>
      <protection/>
    </xf>
    <xf numFmtId="168" fontId="3" fillId="0" borderId="0" xfId="58" applyNumberFormat="1" applyBorder="1">
      <alignment/>
      <protection/>
    </xf>
    <xf numFmtId="168" fontId="6" fillId="0" borderId="0" xfId="58" applyNumberFormat="1" applyFont="1" applyBorder="1">
      <alignment/>
      <protection/>
    </xf>
    <xf numFmtId="167" fontId="0" fillId="0" borderId="22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3" xfId="58" applyFont="1" applyFill="1" applyBorder="1">
      <alignment/>
      <protection/>
    </xf>
    <xf numFmtId="0" fontId="15" fillId="0" borderId="0" xfId="58" applyFont="1" applyBorder="1">
      <alignment/>
      <protection/>
    </xf>
    <xf numFmtId="167" fontId="3" fillId="0" borderId="22" xfId="59" applyNumberFormat="1" applyBorder="1">
      <alignment/>
      <protection/>
    </xf>
    <xf numFmtId="165" fontId="3" fillId="0" borderId="22" xfId="58" applyNumberFormat="1" applyBorder="1">
      <alignment/>
      <protection/>
    </xf>
    <xf numFmtId="2" fontId="3" fillId="0" borderId="0" xfId="58" applyNumberFormat="1">
      <alignment/>
      <protection/>
    </xf>
    <xf numFmtId="168" fontId="3" fillId="0" borderId="22" xfId="58" applyNumberFormat="1" applyBorder="1">
      <alignment/>
      <protection/>
    </xf>
    <xf numFmtId="2" fontId="3" fillId="0" borderId="0" xfId="58" applyNumberFormat="1" applyFont="1">
      <alignment/>
      <protection/>
    </xf>
    <xf numFmtId="168" fontId="3" fillId="0" borderId="0" xfId="58" applyNumberFormat="1">
      <alignment/>
      <protection/>
    </xf>
    <xf numFmtId="168" fontId="3" fillId="0" borderId="13" xfId="58" applyNumberFormat="1" applyBorder="1">
      <alignment/>
      <protection/>
    </xf>
    <xf numFmtId="0" fontId="15" fillId="0" borderId="16" xfId="58" applyFont="1" applyBorder="1">
      <alignment/>
      <protection/>
    </xf>
    <xf numFmtId="0" fontId="17" fillId="0" borderId="16" xfId="0" applyFont="1" applyBorder="1" applyAlignment="1">
      <alignment/>
    </xf>
    <xf numFmtId="0" fontId="24" fillId="0" borderId="16" xfId="58" applyFont="1" applyBorder="1">
      <alignment/>
      <protection/>
    </xf>
    <xf numFmtId="0" fontId="5" fillId="0" borderId="16" xfId="58" applyFont="1" applyBorder="1">
      <alignment/>
      <protection/>
    </xf>
    <xf numFmtId="0" fontId="21" fillId="0" borderId="16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4" fillId="0" borderId="0" xfId="58" applyFont="1" applyBorder="1">
      <alignment/>
      <protection/>
    </xf>
    <xf numFmtId="0" fontId="3" fillId="0" borderId="10" xfId="58" applyBorder="1">
      <alignment/>
      <protection/>
    </xf>
    <xf numFmtId="1" fontId="3" fillId="0" borderId="0" xfId="58" applyNumberFormat="1" applyFont="1" applyBorder="1">
      <alignment/>
      <protection/>
    </xf>
    <xf numFmtId="165" fontId="0" fillId="0" borderId="0" xfId="0" applyNumberFormat="1" applyBorder="1" applyAlignment="1">
      <alignment/>
    </xf>
    <xf numFmtId="167" fontId="25" fillId="0" borderId="17" xfId="0" applyNumberFormat="1" applyFont="1" applyBorder="1" applyAlignment="1">
      <alignment/>
    </xf>
    <xf numFmtId="1" fontId="3" fillId="0" borderId="13" xfId="58" applyNumberFormat="1" applyFont="1" applyBorder="1">
      <alignment/>
      <protection/>
    </xf>
    <xf numFmtId="1" fontId="3" fillId="0" borderId="13" xfId="58" applyNumberFormat="1" applyFont="1" applyFill="1" applyBorder="1">
      <alignment/>
      <protection/>
    </xf>
    <xf numFmtId="167" fontId="15" fillId="0" borderId="17" xfId="58" applyNumberFormat="1" applyFont="1" applyBorder="1">
      <alignment/>
      <protection/>
    </xf>
    <xf numFmtId="165" fontId="3" fillId="0" borderId="0" xfId="58" applyNumberFormat="1" applyFont="1" applyBorder="1">
      <alignment/>
      <protection/>
    </xf>
    <xf numFmtId="1" fontId="3" fillId="0" borderId="0" xfId="58" applyNumberFormat="1" applyBorder="1">
      <alignment/>
      <protection/>
    </xf>
    <xf numFmtId="165" fontId="3" fillId="0" borderId="0" xfId="58" applyNumberFormat="1">
      <alignment/>
      <protection/>
    </xf>
    <xf numFmtId="1" fontId="3" fillId="0" borderId="0" xfId="58" applyNumberFormat="1">
      <alignment/>
      <protection/>
    </xf>
    <xf numFmtId="1" fontId="3" fillId="0" borderId="13" xfId="58" applyNumberFormat="1" applyBorder="1">
      <alignment/>
      <protection/>
    </xf>
    <xf numFmtId="0" fontId="4" fillId="0" borderId="0" xfId="58" applyFont="1" applyBorder="1">
      <alignment/>
      <protection/>
    </xf>
    <xf numFmtId="166" fontId="6" fillId="0" borderId="0" xfId="58" applyNumberFormat="1" applyFont="1" applyBorder="1">
      <alignment/>
      <protection/>
    </xf>
    <xf numFmtId="167" fontId="12" fillId="0" borderId="0" xfId="58" applyNumberFormat="1" applyFont="1" applyBorder="1">
      <alignment/>
      <protection/>
    </xf>
    <xf numFmtId="166" fontId="6" fillId="0" borderId="17" xfId="58" applyNumberFormat="1" applyFont="1" applyBorder="1" applyAlignment="1">
      <alignment horizontal="center"/>
      <protection/>
    </xf>
    <xf numFmtId="10" fontId="6" fillId="0" borderId="0" xfId="58" applyNumberFormat="1" applyFont="1" applyBorder="1" applyAlignment="1">
      <alignment horizontal="center"/>
      <protection/>
    </xf>
    <xf numFmtId="0" fontId="12" fillId="32" borderId="14" xfId="58" applyFont="1" applyFill="1" applyBorder="1">
      <alignment/>
      <protection/>
    </xf>
    <xf numFmtId="0" fontId="12" fillId="32" borderId="22" xfId="58" applyFont="1" applyFill="1" applyBorder="1">
      <alignment/>
      <protection/>
    </xf>
    <xf numFmtId="0" fontId="12" fillId="32" borderId="12" xfId="58" applyFont="1" applyFill="1" applyBorder="1">
      <alignment/>
      <protection/>
    </xf>
    <xf numFmtId="0" fontId="12" fillId="32" borderId="11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9" fillId="0" borderId="0" xfId="58" applyFont="1" applyBorder="1">
      <alignment/>
      <protection/>
    </xf>
    <xf numFmtId="0" fontId="6" fillId="0" borderId="17" xfId="58" applyFont="1" applyBorder="1" applyAlignment="1">
      <alignment horizontal="left"/>
      <protection/>
    </xf>
    <xf numFmtId="0" fontId="9" fillId="0" borderId="13" xfId="58" applyFont="1" applyBorder="1" applyAlignment="1">
      <alignment horizontal="left"/>
      <protection/>
    </xf>
    <xf numFmtId="0" fontId="8" fillId="0" borderId="17" xfId="58" applyFont="1" applyBorder="1" applyAlignment="1">
      <alignment horizontal="left"/>
      <protection/>
    </xf>
    <xf numFmtId="0" fontId="26" fillId="0" borderId="0" xfId="58" applyFont="1">
      <alignment/>
      <protection/>
    </xf>
    <xf numFmtId="0" fontId="26" fillId="0" borderId="0" xfId="58" applyFont="1" applyBorder="1">
      <alignment/>
      <protection/>
    </xf>
    <xf numFmtId="0" fontId="27" fillId="0" borderId="0" xfId="58" applyFont="1" applyBorder="1">
      <alignment/>
      <protection/>
    </xf>
    <xf numFmtId="165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24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6" fontId="6" fillId="0" borderId="25" xfId="0" applyNumberFormat="1" applyFont="1" applyBorder="1" applyAlignment="1">
      <alignment horizontal="center" vertical="top" wrapText="1"/>
    </xf>
    <xf numFmtId="165" fontId="6" fillId="0" borderId="25" xfId="0" applyNumberFormat="1" applyFont="1" applyBorder="1" applyAlignment="1">
      <alignment horizontal="center" vertical="top" wrapText="1"/>
    </xf>
    <xf numFmtId="1" fontId="6" fillId="0" borderId="26" xfId="0" applyNumberFormat="1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10" fillId="32" borderId="25" xfId="0" applyFont="1" applyFill="1" applyBorder="1" applyAlignment="1">
      <alignment horizontal="center" vertical="top" wrapText="1"/>
    </xf>
    <xf numFmtId="0" fontId="6" fillId="32" borderId="25" xfId="0" applyFont="1" applyFill="1" applyBorder="1" applyAlignment="1">
      <alignment horizontal="center" vertical="top" wrapText="1"/>
    </xf>
    <xf numFmtId="0" fontId="6" fillId="32" borderId="27" xfId="0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vertical="top" wrapText="1"/>
    </xf>
    <xf numFmtId="0" fontId="6" fillId="32" borderId="28" xfId="0" applyFont="1" applyFill="1" applyBorder="1" applyAlignment="1">
      <alignment vertical="top" wrapText="1"/>
    </xf>
    <xf numFmtId="0" fontId="6" fillId="32" borderId="29" xfId="0" applyFont="1" applyFill="1" applyBorder="1" applyAlignment="1">
      <alignment vertical="top" wrapText="1"/>
    </xf>
    <xf numFmtId="0" fontId="6" fillId="32" borderId="3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67" fontId="6" fillId="0" borderId="17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3" fillId="0" borderId="0" xfId="59" applyFont="1">
      <alignment/>
      <protection/>
    </xf>
    <xf numFmtId="0" fontId="3" fillId="0" borderId="0" xfId="59" applyFont="1" applyFill="1" applyBorder="1">
      <alignment/>
      <protection/>
    </xf>
    <xf numFmtId="167" fontId="6" fillId="0" borderId="17" xfId="59" applyNumberFormat="1" applyFont="1" applyBorder="1" applyAlignment="1">
      <alignment horizontal="center"/>
      <protection/>
    </xf>
    <xf numFmtId="0" fontId="3" fillId="0" borderId="0" xfId="59">
      <alignment/>
      <protection/>
    </xf>
    <xf numFmtId="0" fontId="15" fillId="0" borderId="0" xfId="59" applyFont="1" applyFill="1">
      <alignment/>
      <protection/>
    </xf>
    <xf numFmtId="0" fontId="15" fillId="0" borderId="0" xfId="59" applyFont="1" applyFill="1" applyBorder="1">
      <alignment/>
      <protection/>
    </xf>
    <xf numFmtId="0" fontId="7" fillId="0" borderId="0" xfId="59" applyFont="1">
      <alignment/>
      <protection/>
    </xf>
    <xf numFmtId="0" fontId="9" fillId="0" borderId="0" xfId="59" applyFont="1">
      <alignment/>
      <protection/>
    </xf>
    <xf numFmtId="0" fontId="12" fillId="32" borderId="20" xfId="59" applyFont="1" applyFill="1" applyBorder="1" applyAlignment="1">
      <alignment horizontal="center"/>
      <protection/>
    </xf>
    <xf numFmtId="0" fontId="12" fillId="32" borderId="18" xfId="59" applyFont="1" applyFill="1" applyBorder="1">
      <alignment/>
      <protection/>
    </xf>
    <xf numFmtId="0" fontId="12" fillId="32" borderId="18" xfId="59" applyFont="1" applyFill="1" applyBorder="1" applyAlignment="1">
      <alignment horizontal="center"/>
      <protection/>
    </xf>
    <xf numFmtId="0" fontId="12" fillId="32" borderId="19" xfId="59" applyFont="1" applyFill="1" applyBorder="1">
      <alignment/>
      <protection/>
    </xf>
    <xf numFmtId="0" fontId="5" fillId="0" borderId="0" xfId="59" applyFont="1">
      <alignment/>
      <protection/>
    </xf>
    <xf numFmtId="0" fontId="5" fillId="0" borderId="16" xfId="59" applyFont="1" applyBorder="1" applyAlignment="1">
      <alignment horizontal="left"/>
      <protection/>
    </xf>
    <xf numFmtId="0" fontId="3" fillId="0" borderId="0" xfId="59" applyAlignment="1">
      <alignment horizontal="center"/>
      <protection/>
    </xf>
    <xf numFmtId="9" fontId="6" fillId="0" borderId="17" xfId="0" applyNumberFormat="1" applyFont="1" applyBorder="1" applyAlignment="1">
      <alignment/>
    </xf>
    <xf numFmtId="0" fontId="15" fillId="32" borderId="0" xfId="59" applyFont="1" applyFill="1" applyBorder="1">
      <alignment/>
      <protection/>
    </xf>
    <xf numFmtId="9" fontId="6" fillId="0" borderId="17" xfId="59" applyNumberFormat="1" applyFont="1" applyBorder="1">
      <alignment/>
      <protection/>
    </xf>
    <xf numFmtId="167" fontId="6" fillId="0" borderId="0" xfId="59" applyNumberFormat="1" applyFont="1" applyBorder="1">
      <alignment/>
      <protection/>
    </xf>
    <xf numFmtId="9" fontId="6" fillId="0" borderId="0" xfId="59" applyNumberFormat="1" applyFont="1" applyBorder="1">
      <alignment/>
      <protection/>
    </xf>
    <xf numFmtId="0" fontId="5" fillId="0" borderId="0" xfId="59" applyFont="1" applyFill="1">
      <alignment/>
      <protection/>
    </xf>
    <xf numFmtId="0" fontId="5" fillId="0" borderId="16" xfId="59" applyFont="1" applyFill="1" applyBorder="1" applyAlignment="1">
      <alignment horizontal="left"/>
      <protection/>
    </xf>
    <xf numFmtId="0" fontId="6" fillId="0" borderId="0" xfId="59" applyFont="1">
      <alignment/>
      <protection/>
    </xf>
    <xf numFmtId="167" fontId="6" fillId="0" borderId="0" xfId="59" applyNumberFormat="1" applyFont="1">
      <alignment/>
      <protection/>
    </xf>
    <xf numFmtId="0" fontId="12" fillId="32" borderId="21" xfId="59" applyFont="1" applyFill="1" applyBorder="1">
      <alignment/>
      <protection/>
    </xf>
    <xf numFmtId="1" fontId="6" fillId="0" borderId="17" xfId="59" applyNumberFormat="1" applyFont="1" applyFill="1" applyBorder="1">
      <alignment/>
      <protection/>
    </xf>
    <xf numFmtId="1" fontId="6" fillId="0" borderId="0" xfId="59" applyNumberFormat="1" applyFont="1" applyFill="1" applyBorder="1">
      <alignment/>
      <protection/>
    </xf>
    <xf numFmtId="0" fontId="12" fillId="32" borderId="22" xfId="59" applyFont="1" applyFill="1" applyBorder="1">
      <alignment/>
      <protection/>
    </xf>
    <xf numFmtId="1" fontId="6" fillId="0" borderId="22" xfId="59" applyNumberFormat="1" applyFont="1" applyFill="1" applyBorder="1">
      <alignment/>
      <protection/>
    </xf>
    <xf numFmtId="1" fontId="6" fillId="0" borderId="22" xfId="59" applyNumberFormat="1" applyFont="1" applyBorder="1">
      <alignment/>
      <protection/>
    </xf>
    <xf numFmtId="1" fontId="6" fillId="0" borderId="0" xfId="59" applyNumberFormat="1" applyFont="1" applyBorder="1">
      <alignment/>
      <protection/>
    </xf>
    <xf numFmtId="0" fontId="12" fillId="32" borderId="21" xfId="59" applyFont="1" applyFill="1" applyBorder="1" applyAlignment="1">
      <alignment horizontal="center"/>
      <protection/>
    </xf>
    <xf numFmtId="0" fontId="12" fillId="32" borderId="16" xfId="59" applyFont="1" applyFill="1" applyBorder="1">
      <alignment/>
      <protection/>
    </xf>
    <xf numFmtId="0" fontId="12" fillId="32" borderId="16" xfId="59" applyFont="1" applyFill="1" applyBorder="1" applyAlignment="1">
      <alignment horizontal="center"/>
      <protection/>
    </xf>
    <xf numFmtId="0" fontId="12" fillId="0" borderId="0" xfId="59" applyFont="1" applyFill="1">
      <alignment/>
      <protection/>
    </xf>
    <xf numFmtId="0" fontId="12" fillId="32" borderId="23" xfId="59" applyFont="1" applyFill="1" applyBorder="1" applyAlignment="1">
      <alignment horizontal="center"/>
      <protection/>
    </xf>
    <xf numFmtId="0" fontId="12" fillId="32" borderId="10" xfId="59" applyFont="1" applyFill="1" applyBorder="1">
      <alignment/>
      <protection/>
    </xf>
    <xf numFmtId="0" fontId="12" fillId="32" borderId="10" xfId="59" applyFont="1" applyFill="1" applyBorder="1" applyAlignment="1">
      <alignment horizontal="center"/>
      <protection/>
    </xf>
    <xf numFmtId="0" fontId="12" fillId="32" borderId="23" xfId="59" applyFont="1" applyFill="1" applyBorder="1">
      <alignment/>
      <protection/>
    </xf>
    <xf numFmtId="0" fontId="5" fillId="0" borderId="0" xfId="59" applyFont="1" applyBorder="1">
      <alignment/>
      <protection/>
    </xf>
    <xf numFmtId="0" fontId="5" fillId="0" borderId="0" xfId="59" applyFont="1" applyBorder="1" applyAlignment="1">
      <alignment horizontal="left"/>
      <protection/>
    </xf>
    <xf numFmtId="0" fontId="12" fillId="32" borderId="0" xfId="59" applyFont="1" applyFill="1" applyBorder="1">
      <alignment/>
      <protection/>
    </xf>
    <xf numFmtId="167" fontId="6" fillId="0" borderId="17" xfId="0" applyNumberFormat="1" applyFont="1" applyBorder="1" applyAlignment="1">
      <alignment/>
    </xf>
    <xf numFmtId="1" fontId="6" fillId="0" borderId="13" xfId="59" applyNumberFormat="1" applyFont="1" applyFill="1" applyBorder="1">
      <alignment/>
      <protection/>
    </xf>
    <xf numFmtId="1" fontId="6" fillId="0" borderId="13" xfId="59" applyNumberFormat="1" applyFont="1" applyBorder="1">
      <alignment/>
      <protection/>
    </xf>
    <xf numFmtId="1" fontId="6" fillId="0" borderId="0" xfId="59" applyNumberFormat="1" applyFont="1">
      <alignment/>
      <protection/>
    </xf>
    <xf numFmtId="0" fontId="12" fillId="32" borderId="17" xfId="59" applyFont="1" applyFill="1" applyBorder="1">
      <alignment/>
      <protection/>
    </xf>
    <xf numFmtId="167" fontId="6" fillId="0" borderId="17" xfId="59" applyNumberFormat="1" applyFont="1" applyBorder="1">
      <alignment/>
      <protection/>
    </xf>
    <xf numFmtId="167" fontId="6" fillId="0" borderId="12" xfId="59" applyNumberFormat="1" applyFont="1" applyBorder="1">
      <alignment/>
      <protection/>
    </xf>
    <xf numFmtId="0" fontId="12" fillId="32" borderId="14" xfId="59" applyFont="1" applyFill="1" applyBorder="1">
      <alignment/>
      <protection/>
    </xf>
    <xf numFmtId="16" fontId="12" fillId="32" borderId="17" xfId="59" applyNumberFormat="1" applyFont="1" applyFill="1" applyBorder="1">
      <alignment/>
      <protection/>
    </xf>
    <xf numFmtId="0" fontId="12" fillId="32" borderId="12" xfId="59" applyFont="1" applyFill="1" applyBorder="1">
      <alignment/>
      <protection/>
    </xf>
    <xf numFmtId="0" fontId="5" fillId="0" borderId="0" xfId="59" applyFont="1" applyAlignment="1">
      <alignment horizontal="left"/>
      <protection/>
    </xf>
    <xf numFmtId="9" fontId="6" fillId="0" borderId="17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/>
    </xf>
    <xf numFmtId="0" fontId="12" fillId="32" borderId="16" xfId="57" applyFont="1" applyFill="1" applyBorder="1">
      <alignment/>
      <protection/>
    </xf>
    <xf numFmtId="0" fontId="6" fillId="0" borderId="0" xfId="57" applyFont="1">
      <alignment/>
      <protection/>
    </xf>
    <xf numFmtId="9" fontId="6" fillId="0" borderId="17" xfId="57" applyNumberFormat="1" applyFont="1" applyFill="1" applyBorder="1" applyAlignment="1">
      <alignment horizontal="center"/>
      <protection/>
    </xf>
    <xf numFmtId="167" fontId="6" fillId="0" borderId="0" xfId="57" applyNumberFormat="1" applyFont="1" applyFill="1" applyBorder="1">
      <alignment/>
      <protection/>
    </xf>
    <xf numFmtId="9" fontId="6" fillId="0" borderId="17" xfId="57" applyNumberFormat="1" applyFont="1" applyBorder="1" applyAlignment="1">
      <alignment horizontal="center"/>
      <protection/>
    </xf>
    <xf numFmtId="167" fontId="6" fillId="0" borderId="0" xfId="57" applyNumberFormat="1" applyFont="1" applyBorder="1">
      <alignment/>
      <protection/>
    </xf>
    <xf numFmtId="0" fontId="12" fillId="32" borderId="0" xfId="57" applyFont="1" applyFill="1" applyBorder="1">
      <alignment/>
      <protection/>
    </xf>
    <xf numFmtId="0" fontId="12" fillId="32" borderId="13" xfId="57" applyFont="1" applyFill="1" applyBorder="1">
      <alignment/>
      <protection/>
    </xf>
    <xf numFmtId="0" fontId="12" fillId="32" borderId="20" xfId="57" applyFont="1" applyFill="1" applyBorder="1" applyAlignment="1">
      <alignment horizontal="center"/>
      <protection/>
    </xf>
    <xf numFmtId="0" fontId="12" fillId="32" borderId="18" xfId="57" applyFont="1" applyFill="1" applyBorder="1" applyAlignment="1">
      <alignment horizontal="center"/>
      <protection/>
    </xf>
    <xf numFmtId="0" fontId="12" fillId="32" borderId="18" xfId="57" applyFont="1" applyFill="1" applyBorder="1">
      <alignment/>
      <protection/>
    </xf>
    <xf numFmtId="0" fontId="12" fillId="32" borderId="19" xfId="57" applyFont="1" applyFill="1" applyBorder="1">
      <alignment/>
      <protection/>
    </xf>
    <xf numFmtId="0" fontId="3" fillId="0" borderId="0" xfId="57">
      <alignment/>
      <protection/>
    </xf>
    <xf numFmtId="0" fontId="7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left"/>
      <protection/>
    </xf>
    <xf numFmtId="0" fontId="6" fillId="0" borderId="0" xfId="59" applyFont="1" applyBorder="1">
      <alignment/>
      <protection/>
    </xf>
    <xf numFmtId="0" fontId="3" fillId="0" borderId="0" xfId="59" applyBorder="1">
      <alignment/>
      <protection/>
    </xf>
    <xf numFmtId="0" fontId="5" fillId="0" borderId="0" xfId="0" applyFont="1" applyBorder="1" applyAlignment="1">
      <alignment/>
    </xf>
    <xf numFmtId="0" fontId="6" fillId="0" borderId="0" xfId="57" applyFont="1" applyBorder="1">
      <alignment/>
      <protection/>
    </xf>
    <xf numFmtId="0" fontId="12" fillId="0" borderId="0" xfId="57" applyFont="1" applyFill="1" applyBorder="1" applyAlignment="1">
      <alignment horizontal="center"/>
      <protection/>
    </xf>
    <xf numFmtId="9" fontId="12" fillId="0" borderId="19" xfId="0" applyNumberFormat="1" applyFont="1" applyBorder="1" applyAlignment="1">
      <alignment horizontal="center"/>
    </xf>
    <xf numFmtId="0" fontId="12" fillId="32" borderId="31" xfId="57" applyFont="1" applyFill="1" applyBorder="1" applyAlignment="1">
      <alignment horizontal="center"/>
      <protection/>
    </xf>
    <xf numFmtId="0" fontId="12" fillId="32" borderId="23" xfId="57" applyFont="1" applyFill="1" applyBorder="1" applyAlignment="1">
      <alignment horizontal="center"/>
      <protection/>
    </xf>
    <xf numFmtId="1" fontId="8" fillId="0" borderId="17" xfId="0" applyNumberFormat="1" applyFont="1" applyBorder="1" applyAlignment="1">
      <alignment horizontal="center"/>
    </xf>
    <xf numFmtId="1" fontId="6" fillId="0" borderId="0" xfId="57" applyNumberFormat="1" applyFont="1" applyBorder="1" applyAlignment="1">
      <alignment horizontal="center"/>
      <protection/>
    </xf>
    <xf numFmtId="165" fontId="6" fillId="0" borderId="0" xfId="57" applyNumberFormat="1" applyFont="1" applyBorder="1" applyAlignment="1">
      <alignment horizontal="center"/>
      <protection/>
    </xf>
    <xf numFmtId="1" fontId="6" fillId="0" borderId="24" xfId="57" applyNumberFormat="1" applyFont="1" applyBorder="1" applyAlignment="1">
      <alignment horizontal="center"/>
      <protection/>
    </xf>
    <xf numFmtId="165" fontId="6" fillId="0" borderId="0" xfId="57" applyNumberFormat="1" applyFont="1" applyAlignment="1">
      <alignment horizontal="center"/>
      <protection/>
    </xf>
    <xf numFmtId="165" fontId="6" fillId="0" borderId="13" xfId="57" applyNumberFormat="1" applyFont="1" applyFill="1" applyBorder="1" applyAlignment="1">
      <alignment horizontal="center"/>
      <protection/>
    </xf>
    <xf numFmtId="1" fontId="8" fillId="0" borderId="22" xfId="0" applyNumberFormat="1" applyFont="1" applyBorder="1" applyAlignment="1">
      <alignment horizontal="center"/>
    </xf>
    <xf numFmtId="165" fontId="6" fillId="0" borderId="13" xfId="57" applyNumberFormat="1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" fontId="6" fillId="0" borderId="13" xfId="57" applyNumberFormat="1" applyFont="1" applyBorder="1" applyAlignment="1">
      <alignment horizontal="center"/>
      <protection/>
    </xf>
    <xf numFmtId="1" fontId="6" fillId="0" borderId="0" xfId="57" applyNumberFormat="1" applyFont="1" applyAlignment="1">
      <alignment horizontal="center"/>
      <protection/>
    </xf>
    <xf numFmtId="1" fontId="8" fillId="0" borderId="23" xfId="0" applyNumberFormat="1" applyFont="1" applyBorder="1" applyAlignment="1">
      <alignment horizontal="center"/>
    </xf>
    <xf numFmtId="1" fontId="6" fillId="0" borderId="32" xfId="57" applyNumberFormat="1" applyFont="1" applyBorder="1" applyAlignment="1">
      <alignment horizontal="center"/>
      <protection/>
    </xf>
    <xf numFmtId="1" fontId="6" fillId="0" borderId="10" xfId="57" applyNumberFormat="1" applyFont="1" applyBorder="1" applyAlignment="1">
      <alignment horizontal="center"/>
      <protection/>
    </xf>
    <xf numFmtId="1" fontId="6" fillId="0" borderId="11" xfId="57" applyNumberFormat="1" applyFont="1" applyBorder="1" applyAlignment="1">
      <alignment horizontal="center"/>
      <protection/>
    </xf>
    <xf numFmtId="0" fontId="12" fillId="32" borderId="11" xfId="57" applyFont="1" applyFill="1" applyBorder="1">
      <alignment/>
      <protection/>
    </xf>
    <xf numFmtId="0" fontId="12" fillId="32" borderId="14" xfId="57" applyFont="1" applyFill="1" applyBorder="1" applyAlignment="1">
      <alignment horizontal="center"/>
      <protection/>
    </xf>
    <xf numFmtId="0" fontId="12" fillId="32" borderId="15" xfId="57" applyFont="1" applyFill="1" applyBorder="1" applyAlignment="1">
      <alignment horizontal="center"/>
      <protection/>
    </xf>
    <xf numFmtId="0" fontId="12" fillId="32" borderId="24" xfId="57" applyFont="1" applyFill="1" applyBorder="1" applyAlignment="1">
      <alignment horizontal="center"/>
      <protection/>
    </xf>
    <xf numFmtId="0" fontId="12" fillId="32" borderId="0" xfId="57" applyFont="1" applyFill="1" applyBorder="1" applyAlignment="1">
      <alignment horizontal="center"/>
      <protection/>
    </xf>
    <xf numFmtId="0" fontId="12" fillId="32" borderId="13" xfId="57" applyFont="1" applyFill="1" applyBorder="1" applyAlignment="1">
      <alignment horizontal="center"/>
      <protection/>
    </xf>
    <xf numFmtId="0" fontId="12" fillId="32" borderId="21" xfId="57" applyFont="1" applyFill="1" applyBorder="1">
      <alignment/>
      <protection/>
    </xf>
    <xf numFmtId="0" fontId="12" fillId="32" borderId="17" xfId="57" applyFont="1" applyFill="1" applyBorder="1" applyAlignment="1">
      <alignment horizontal="center"/>
      <protection/>
    </xf>
    <xf numFmtId="0" fontId="12" fillId="32" borderId="0" xfId="57" applyFont="1" applyFill="1" applyAlignment="1">
      <alignment horizontal="center"/>
      <protection/>
    </xf>
    <xf numFmtId="0" fontId="12" fillId="32" borderId="22" xfId="57" applyFont="1" applyFill="1" applyBorder="1">
      <alignment/>
      <protection/>
    </xf>
    <xf numFmtId="0" fontId="12" fillId="32" borderId="17" xfId="57" applyFont="1" applyFill="1" applyBorder="1">
      <alignment/>
      <protection/>
    </xf>
    <xf numFmtId="0" fontId="12" fillId="32" borderId="24" xfId="57" applyFont="1" applyFill="1" applyBorder="1">
      <alignment/>
      <protection/>
    </xf>
    <xf numFmtId="0" fontId="13" fillId="32" borderId="11" xfId="57" applyFont="1" applyFill="1" applyBorder="1">
      <alignment/>
      <protection/>
    </xf>
    <xf numFmtId="0" fontId="13" fillId="32" borderId="32" xfId="57" applyFont="1" applyFill="1" applyBorder="1">
      <alignment/>
      <protection/>
    </xf>
    <xf numFmtId="0" fontId="12" fillId="32" borderId="10" xfId="57" applyFont="1" applyFill="1" applyBorder="1">
      <alignment/>
      <protection/>
    </xf>
    <xf numFmtId="0" fontId="12" fillId="32" borderId="23" xfId="57" applyFont="1" applyFill="1" applyBorder="1">
      <alignment/>
      <protection/>
    </xf>
    <xf numFmtId="0" fontId="23" fillId="0" borderId="0" xfId="57" applyFont="1" applyFill="1">
      <alignment/>
      <protection/>
    </xf>
    <xf numFmtId="0" fontId="15" fillId="0" borderId="0" xfId="57" applyFont="1" applyFill="1">
      <alignment/>
      <protection/>
    </xf>
    <xf numFmtId="0" fontId="5" fillId="0" borderId="0" xfId="0" applyFont="1" applyAlignment="1">
      <alignment horizontal="left"/>
    </xf>
    <xf numFmtId="1" fontId="6" fillId="0" borderId="0" xfId="57" applyNumberFormat="1" applyFont="1">
      <alignment/>
      <protection/>
    </xf>
    <xf numFmtId="0" fontId="12" fillId="32" borderId="11" xfId="57" applyFont="1" applyFill="1" applyBorder="1" applyAlignment="1">
      <alignment horizontal="center"/>
      <protection/>
    </xf>
    <xf numFmtId="1" fontId="21" fillId="0" borderId="0" xfId="0" applyNumberFormat="1" applyFont="1" applyAlignment="1">
      <alignment/>
    </xf>
    <xf numFmtId="1" fontId="8" fillId="0" borderId="0" xfId="57" applyNumberFormat="1" applyFont="1" applyAlignment="1">
      <alignment horizontal="center"/>
      <protection/>
    </xf>
    <xf numFmtId="0" fontId="12" fillId="32" borderId="1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left"/>
      <protection/>
    </xf>
    <xf numFmtId="0" fontId="18" fillId="0" borderId="0" xfId="57" applyFont="1" applyFill="1">
      <alignment/>
      <protection/>
    </xf>
    <xf numFmtId="0" fontId="18" fillId="0" borderId="0" xfId="57" applyFont="1" applyFill="1" applyBorder="1" applyAlignment="1">
      <alignment horizontal="left"/>
      <protection/>
    </xf>
    <xf numFmtId="2" fontId="6" fillId="0" borderId="0" xfId="57" applyNumberFormat="1" applyFont="1" applyBorder="1">
      <alignment/>
      <protection/>
    </xf>
    <xf numFmtId="0" fontId="6" fillId="0" borderId="13" xfId="57" applyFont="1" applyBorder="1">
      <alignment/>
      <protection/>
    </xf>
    <xf numFmtId="2" fontId="6" fillId="0" borderId="0" xfId="57" applyNumberFormat="1" applyFo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/>
    </xf>
    <xf numFmtId="0" fontId="12" fillId="0" borderId="16" xfId="57" applyFont="1" applyFill="1" applyBorder="1">
      <alignment/>
      <protection/>
    </xf>
    <xf numFmtId="167" fontId="12" fillId="0" borderId="18" xfId="57" applyNumberFormat="1" applyFont="1" applyBorder="1" applyAlignment="1">
      <alignment horizontal="center"/>
      <protection/>
    </xf>
    <xf numFmtId="0" fontId="12" fillId="32" borderId="15" xfId="57" applyFont="1" applyFill="1" applyBorder="1">
      <alignment/>
      <protection/>
    </xf>
    <xf numFmtId="167" fontId="12" fillId="0" borderId="10" xfId="57" applyNumberFormat="1" applyFont="1" applyBorder="1" applyAlignment="1">
      <alignment horizontal="center"/>
      <protection/>
    </xf>
    <xf numFmtId="1" fontId="8" fillId="0" borderId="0" xfId="57" applyNumberFormat="1" applyFont="1" applyBorder="1" applyAlignment="1">
      <alignment horizontal="center"/>
      <protection/>
    </xf>
    <xf numFmtId="166" fontId="6" fillId="0" borderId="0" xfId="62" applyNumberFormat="1" applyFont="1" applyBorder="1" applyAlignment="1">
      <alignment horizontal="center"/>
      <protection/>
    </xf>
    <xf numFmtId="1" fontId="8" fillId="0" borderId="17" xfId="57" applyNumberFormat="1" applyFont="1" applyBorder="1" applyAlignment="1">
      <alignment horizontal="center"/>
      <protection/>
    </xf>
    <xf numFmtId="1" fontId="6" fillId="0" borderId="22" xfId="57" applyNumberFormat="1" applyFont="1" applyBorder="1" applyAlignment="1">
      <alignment horizontal="center"/>
      <protection/>
    </xf>
    <xf numFmtId="166" fontId="6" fillId="0" borderId="0" xfId="57" applyNumberFormat="1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1" fontId="8" fillId="0" borderId="12" xfId="57" applyNumberFormat="1" applyFont="1" applyBorder="1" applyAlignment="1">
      <alignment horizontal="center"/>
      <protection/>
    </xf>
    <xf numFmtId="166" fontId="6" fillId="0" borderId="10" xfId="57" applyNumberFormat="1" applyFont="1" applyBorder="1" applyAlignment="1">
      <alignment horizontal="center"/>
      <protection/>
    </xf>
    <xf numFmtId="1" fontId="8" fillId="0" borderId="10" xfId="57" applyNumberFormat="1" applyFont="1" applyBorder="1" applyAlignment="1">
      <alignment horizontal="center"/>
      <protection/>
    </xf>
    <xf numFmtId="1" fontId="6" fillId="0" borderId="23" xfId="57" applyNumberFormat="1" applyFont="1" applyBorder="1" applyAlignment="1">
      <alignment horizontal="center"/>
      <protection/>
    </xf>
    <xf numFmtId="0" fontId="3" fillId="0" borderId="0" xfId="57" applyBorder="1">
      <alignment/>
      <protection/>
    </xf>
    <xf numFmtId="0" fontId="15" fillId="0" borderId="0" xfId="57" applyFont="1" applyBorder="1">
      <alignment/>
      <protection/>
    </xf>
    <xf numFmtId="0" fontId="5" fillId="0" borderId="0" xfId="0" applyFont="1" applyBorder="1" applyAlignment="1">
      <alignment/>
    </xf>
    <xf numFmtId="2" fontId="9" fillId="0" borderId="0" xfId="57" applyNumberFormat="1" applyFont="1" applyBorder="1">
      <alignment/>
      <protection/>
    </xf>
    <xf numFmtId="0" fontId="18" fillId="0" borderId="0" xfId="57" applyFont="1" applyBorder="1">
      <alignment/>
      <protection/>
    </xf>
    <xf numFmtId="167" fontId="12" fillId="0" borderId="16" xfId="0" applyNumberFormat="1" applyFont="1" applyBorder="1" applyAlignment="1">
      <alignment horizontal="center"/>
    </xf>
    <xf numFmtId="0" fontId="15" fillId="32" borderId="21" xfId="0" applyFont="1" applyFill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15" fillId="32" borderId="23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/>
    </xf>
    <xf numFmtId="0" fontId="15" fillId="32" borderId="13" xfId="0" applyFont="1" applyFill="1" applyBorder="1" applyAlignment="1">
      <alignment/>
    </xf>
    <xf numFmtId="0" fontId="12" fillId="32" borderId="21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5" fillId="32" borderId="21" xfId="0" applyFont="1" applyFill="1" applyBorder="1" applyAlignment="1">
      <alignment/>
    </xf>
    <xf numFmtId="0" fontId="12" fillId="32" borderId="22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5" fillId="32" borderId="22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left"/>
    </xf>
    <xf numFmtId="0" fontId="12" fillId="32" borderId="23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5" fillId="32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7" fontId="1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12" fillId="0" borderId="16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12" fillId="32" borderId="22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12" fillId="32" borderId="22" xfId="0" applyFont="1" applyFill="1" applyBorder="1" applyAlignment="1">
      <alignment/>
    </xf>
    <xf numFmtId="0" fontId="23" fillId="0" borderId="0" xfId="0" applyFont="1" applyBorder="1" applyAlignment="1">
      <alignment/>
    </xf>
    <xf numFmtId="0" fontId="12" fillId="32" borderId="2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7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67" fontId="12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9" fontId="6" fillId="0" borderId="12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5" xfId="0" applyFont="1" applyBorder="1" applyAlignment="1">
      <alignment/>
    </xf>
    <xf numFmtId="167" fontId="12" fillId="0" borderId="14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165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165" fontId="6" fillId="0" borderId="17" xfId="0" applyNumberFormat="1" applyFont="1" applyBorder="1" applyAlignment="1">
      <alignment/>
    </xf>
    <xf numFmtId="167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2" borderId="0" xfId="0" applyFont="1" applyFill="1" applyAlignment="1">
      <alignment/>
    </xf>
    <xf numFmtId="165" fontId="24" fillId="0" borderId="0" xfId="0" applyNumberFormat="1" applyFont="1" applyBorder="1" applyAlignment="1">
      <alignment/>
    </xf>
    <xf numFmtId="165" fontId="1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165" fontId="6" fillId="0" borderId="22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6" fillId="32" borderId="20" xfId="0" applyFont="1" applyFill="1" applyBorder="1" applyAlignment="1">
      <alignment/>
    </xf>
    <xf numFmtId="0" fontId="12" fillId="32" borderId="19" xfId="0" applyFont="1" applyFill="1" applyBorder="1" applyAlignment="1">
      <alignment horizontal="center"/>
    </xf>
    <xf numFmtId="0" fontId="12" fillId="32" borderId="31" xfId="0" applyFont="1" applyFill="1" applyBorder="1" applyAlignment="1">
      <alignment/>
    </xf>
    <xf numFmtId="0" fontId="12" fillId="32" borderId="31" xfId="0" applyFont="1" applyFill="1" applyBorder="1" applyAlignment="1">
      <alignment horizontal="center"/>
    </xf>
    <xf numFmtId="0" fontId="0" fillId="32" borderId="20" xfId="0" applyFill="1" applyBorder="1" applyAlignment="1">
      <alignment/>
    </xf>
    <xf numFmtId="0" fontId="13" fillId="32" borderId="18" xfId="0" applyFont="1" applyFill="1" applyBorder="1" applyAlignment="1">
      <alignment horizontal="center"/>
    </xf>
    <xf numFmtId="0" fontId="13" fillId="32" borderId="18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1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0" fontId="8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57" applyFont="1">
      <alignment/>
      <protection/>
    </xf>
    <xf numFmtId="165" fontId="28" fillId="0" borderId="0" xfId="0" applyNumberFormat="1" applyFont="1" applyBorder="1" applyAlignment="1">
      <alignment horizontal="center" vertical="top" wrapText="1"/>
    </xf>
    <xf numFmtId="0" fontId="10" fillId="32" borderId="21" xfId="60" applyFont="1" applyFill="1" applyBorder="1" applyAlignment="1">
      <alignment/>
      <protection/>
    </xf>
    <xf numFmtId="1" fontId="10" fillId="0" borderId="17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32" borderId="11" xfId="60" applyFont="1" applyFill="1" applyBorder="1" applyAlignment="1" quotePrefix="1">
      <alignment horizontal="center"/>
      <protection/>
    </xf>
    <xf numFmtId="0" fontId="10" fillId="32" borderId="14" xfId="0" applyFont="1" applyFill="1" applyBorder="1" applyAlignment="1">
      <alignment/>
    </xf>
    <xf numFmtId="165" fontId="10" fillId="32" borderId="16" xfId="0" applyNumberFormat="1" applyFont="1" applyFill="1" applyBorder="1" applyAlignment="1">
      <alignment horizontal="center"/>
    </xf>
    <xf numFmtId="0" fontId="19" fillId="32" borderId="16" xfId="0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0" xfId="57" applyFont="1">
      <alignment/>
      <protection/>
    </xf>
    <xf numFmtId="0" fontId="6" fillId="0" borderId="0" xfId="0" applyFont="1" applyFill="1" applyBorder="1" applyAlignment="1">
      <alignment vertical="top" wrapText="1"/>
    </xf>
    <xf numFmtId="1" fontId="0" fillId="0" borderId="0" xfId="0" applyNumberFormat="1" applyFill="1" applyAlignment="1">
      <alignment/>
    </xf>
    <xf numFmtId="0" fontId="12" fillId="32" borderId="18" xfId="0" applyFont="1" applyFill="1" applyBorder="1" applyAlignment="1">
      <alignment horizontal="center"/>
    </xf>
    <xf numFmtId="0" fontId="7" fillId="0" borderId="0" xfId="60" applyFont="1" applyFill="1" applyBorder="1" applyAlignment="1">
      <alignment horizontal="center"/>
      <protection/>
    </xf>
    <xf numFmtId="1" fontId="21" fillId="0" borderId="10" xfId="0" applyNumberFormat="1" applyFont="1" applyBorder="1" applyAlignment="1">
      <alignment/>
    </xf>
    <xf numFmtId="1" fontId="8" fillId="0" borderId="0" xfId="57" applyNumberFormat="1" applyFont="1" applyFill="1" applyBorder="1" applyAlignment="1">
      <alignment horizontal="center"/>
      <protection/>
    </xf>
    <xf numFmtId="0" fontId="0" fillId="32" borderId="0" xfId="0" applyFill="1" applyBorder="1" applyAlignment="1">
      <alignment horizontal="center"/>
    </xf>
    <xf numFmtId="0" fontId="6" fillId="32" borderId="11" xfId="57" applyFont="1" applyFill="1" applyBorder="1">
      <alignment/>
      <protection/>
    </xf>
    <xf numFmtId="0" fontId="6" fillId="32" borderId="10" xfId="57" applyFont="1" applyFill="1" applyBorder="1">
      <alignment/>
      <protection/>
    </xf>
    <xf numFmtId="0" fontId="6" fillId="32" borderId="23" xfId="57" applyFont="1" applyFill="1" applyBorder="1" applyAlignment="1">
      <alignment horizontal="center"/>
      <protection/>
    </xf>
    <xf numFmtId="0" fontId="6" fillId="32" borderId="12" xfId="57" applyFont="1" applyFill="1" applyBorder="1">
      <alignment/>
      <protection/>
    </xf>
    <xf numFmtId="0" fontId="6" fillId="32" borderId="23" xfId="57" applyFont="1" applyFill="1" applyBorder="1">
      <alignment/>
      <protection/>
    </xf>
    <xf numFmtId="0" fontId="6" fillId="32" borderId="13" xfId="57" applyFont="1" applyFill="1" applyBorder="1">
      <alignment/>
      <protection/>
    </xf>
    <xf numFmtId="0" fontId="6" fillId="32" borderId="0" xfId="57" applyFont="1" applyFill="1" applyBorder="1" applyAlignment="1">
      <alignment horizontal="center"/>
      <protection/>
    </xf>
    <xf numFmtId="0" fontId="6" fillId="32" borderId="22" xfId="57" applyFont="1" applyFill="1" applyBorder="1" applyAlignment="1">
      <alignment horizontal="center"/>
      <protection/>
    </xf>
    <xf numFmtId="0" fontId="6" fillId="32" borderId="0" xfId="57" applyFont="1" applyFill="1" applyBorder="1">
      <alignment/>
      <protection/>
    </xf>
    <xf numFmtId="0" fontId="6" fillId="32" borderId="17" xfId="57" applyFont="1" applyFill="1" applyBorder="1" applyAlignment="1">
      <alignment horizontal="center"/>
      <protection/>
    </xf>
    <xf numFmtId="0" fontId="6" fillId="32" borderId="22" xfId="57" applyFont="1" applyFill="1" applyBorder="1">
      <alignment/>
      <protection/>
    </xf>
    <xf numFmtId="0" fontId="6" fillId="32" borderId="0" xfId="57" applyFont="1" applyFill="1" applyBorder="1" applyAlignment="1">
      <alignment/>
      <protection/>
    </xf>
    <xf numFmtId="0" fontId="6" fillId="32" borderId="17" xfId="57" applyFont="1" applyFill="1" applyBorder="1">
      <alignment/>
      <protection/>
    </xf>
    <xf numFmtId="0" fontId="6" fillId="32" borderId="15" xfId="57" applyFont="1" applyFill="1" applyBorder="1">
      <alignment/>
      <protection/>
    </xf>
    <xf numFmtId="0" fontId="6" fillId="32" borderId="16" xfId="57" applyFont="1" applyFill="1" applyBorder="1" applyAlignment="1">
      <alignment horizontal="center"/>
      <protection/>
    </xf>
    <xf numFmtId="0" fontId="6" fillId="32" borderId="21" xfId="57" applyFont="1" applyFill="1" applyBorder="1" applyAlignment="1">
      <alignment horizontal="center"/>
      <protection/>
    </xf>
    <xf numFmtId="0" fontId="6" fillId="32" borderId="16" xfId="57" applyFont="1" applyFill="1" applyBorder="1">
      <alignment/>
      <protection/>
    </xf>
    <xf numFmtId="0" fontId="6" fillId="32" borderId="14" xfId="57" applyFont="1" applyFill="1" applyBorder="1" applyAlignment="1">
      <alignment horizontal="center"/>
      <protection/>
    </xf>
    <xf numFmtId="0" fontId="6" fillId="32" borderId="13" xfId="57" applyFont="1" applyFill="1" applyBorder="1" applyAlignment="1">
      <alignment horizontal="center"/>
      <protection/>
    </xf>
    <xf numFmtId="0" fontId="6" fillId="32" borderId="31" xfId="57" applyFont="1" applyFill="1" applyBorder="1">
      <alignment/>
      <protection/>
    </xf>
    <xf numFmtId="16" fontId="6" fillId="0" borderId="17" xfId="60" applyNumberFormat="1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/>
      <protection/>
    </xf>
    <xf numFmtId="2" fontId="6" fillId="0" borderId="0" xfId="61" applyNumberFormat="1" applyFont="1" applyBorder="1" applyAlignment="1">
      <alignment/>
      <protection/>
    </xf>
    <xf numFmtId="166" fontId="6" fillId="0" borderId="0" xfId="61" applyNumberFormat="1" applyFont="1" applyBorder="1" applyAlignment="1">
      <alignment/>
      <protection/>
    </xf>
    <xf numFmtId="1" fontId="6" fillId="0" borderId="0" xfId="61" applyNumberFormat="1" applyFont="1" applyBorder="1" applyAlignment="1">
      <alignment/>
      <protection/>
    </xf>
    <xf numFmtId="0" fontId="6" fillId="0" borderId="0" xfId="60" applyFont="1" applyFill="1" applyBorder="1" applyAlignment="1">
      <alignment/>
      <protection/>
    </xf>
    <xf numFmtId="1" fontId="6" fillId="0" borderId="10" xfId="61" applyNumberFormat="1" applyFont="1" applyFill="1" applyBorder="1" applyAlignment="1">
      <alignment horizontal="center"/>
      <protection/>
    </xf>
    <xf numFmtId="2" fontId="6" fillId="0" borderId="12" xfId="61" applyNumberFormat="1" applyFont="1" applyBorder="1" applyAlignment="1" quotePrefix="1">
      <alignment horizontal="center"/>
      <protection/>
    </xf>
    <xf numFmtId="2" fontId="6" fillId="0" borderId="10" xfId="61" applyNumberFormat="1" applyFont="1" applyBorder="1" applyAlignment="1">
      <alignment/>
      <protection/>
    </xf>
    <xf numFmtId="166" fontId="6" fillId="0" borderId="0" xfId="0" applyNumberFormat="1" applyFont="1" applyFill="1" applyBorder="1" applyAlignment="1">
      <alignment/>
    </xf>
    <xf numFmtId="0" fontId="0" fillId="32" borderId="29" xfId="0" applyFill="1" applyBorder="1" applyAlignment="1">
      <alignment/>
    </xf>
    <xf numFmtId="1" fontId="8" fillId="34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5" fillId="32" borderId="21" xfId="58" applyFont="1" applyFill="1" applyBorder="1">
      <alignment/>
      <protection/>
    </xf>
    <xf numFmtId="165" fontId="3" fillId="0" borderId="17" xfId="58" applyNumberFormat="1" applyBorder="1">
      <alignment/>
      <protection/>
    </xf>
    <xf numFmtId="0" fontId="15" fillId="32" borderId="17" xfId="58" applyFont="1" applyFill="1" applyBorder="1">
      <alignment/>
      <protection/>
    </xf>
    <xf numFmtId="0" fontId="0" fillId="0" borderId="15" xfId="0" applyBorder="1" applyAlignment="1">
      <alignment/>
    </xf>
    <xf numFmtId="0" fontId="8" fillId="0" borderId="0" xfId="0" applyFont="1" applyBorder="1" applyAlignment="1">
      <alignment/>
    </xf>
    <xf numFmtId="17" fontId="6" fillId="32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/>
    </xf>
    <xf numFmtId="1" fontId="6" fillId="0" borderId="25" xfId="0" applyNumberFormat="1" applyFont="1" applyBorder="1" applyAlignment="1">
      <alignment horizontal="center" vertical="top" wrapText="1"/>
    </xf>
    <xf numFmtId="166" fontId="6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/>
    </xf>
    <xf numFmtId="2" fontId="0" fillId="0" borderId="17" xfId="0" applyNumberFormat="1" applyBorder="1" applyAlignment="1">
      <alignment/>
    </xf>
    <xf numFmtId="2" fontId="3" fillId="0" borderId="22" xfId="58" applyNumberFormat="1" applyFont="1" applyBorder="1">
      <alignment/>
      <protection/>
    </xf>
    <xf numFmtId="2" fontId="0" fillId="0" borderId="16" xfId="0" applyNumberFormat="1" applyFill="1" applyBorder="1" applyAlignment="1">
      <alignment/>
    </xf>
    <xf numFmtId="2" fontId="15" fillId="0" borderId="0" xfId="58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9" fontId="12" fillId="0" borderId="3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6" fillId="0" borderId="17" xfId="0" applyNumberFormat="1" applyFont="1" applyBorder="1" applyAlignment="1">
      <alignment/>
    </xf>
    <xf numFmtId="0" fontId="15" fillId="32" borderId="13" xfId="59" applyFont="1" applyFill="1" applyBorder="1">
      <alignment/>
      <protection/>
    </xf>
    <xf numFmtId="9" fontId="6" fillId="0" borderId="11" xfId="59" applyNumberFormat="1" applyFont="1" applyBorder="1">
      <alignment/>
      <protection/>
    </xf>
    <xf numFmtId="9" fontId="6" fillId="0" borderId="13" xfId="59" applyNumberFormat="1" applyFont="1" applyBorder="1">
      <alignment/>
      <protection/>
    </xf>
    <xf numFmtId="9" fontId="6" fillId="0" borderId="13" xfId="0" applyNumberFormat="1" applyFont="1" applyBorder="1" applyAlignment="1">
      <alignment/>
    </xf>
    <xf numFmtId="165" fontId="28" fillId="0" borderId="25" xfId="0" applyNumberFormat="1" applyFont="1" applyBorder="1" applyAlignment="1">
      <alignment horizontal="center" vertical="top" wrapText="1"/>
    </xf>
    <xf numFmtId="165" fontId="28" fillId="0" borderId="18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0" fontId="6" fillId="32" borderId="12" xfId="60" applyFont="1" applyFill="1" applyBorder="1" applyAlignment="1">
      <alignment horizontal="center"/>
      <protection/>
    </xf>
    <xf numFmtId="1" fontId="8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9" fillId="32" borderId="0" xfId="0" applyFont="1" applyFill="1" applyAlignment="1">
      <alignment/>
    </xf>
    <xf numFmtId="0" fontId="7" fillId="32" borderId="18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32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8" fillId="32" borderId="10" xfId="60" applyFont="1" applyFill="1" applyBorder="1">
      <alignment/>
      <protection/>
    </xf>
    <xf numFmtId="0" fontId="8" fillId="32" borderId="16" xfId="60" applyFont="1" applyFill="1" applyBorder="1">
      <alignment/>
      <protection/>
    </xf>
    <xf numFmtId="0" fontId="0" fillId="0" borderId="18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60" applyFont="1" applyFill="1" applyBorder="1">
      <alignment/>
      <protection/>
    </xf>
    <xf numFmtId="1" fontId="6" fillId="0" borderId="11" xfId="60" applyNumberFormat="1" applyFont="1" applyFill="1" applyBorder="1">
      <alignment/>
      <protection/>
    </xf>
    <xf numFmtId="2" fontId="10" fillId="0" borderId="10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13" fillId="32" borderId="19" xfId="0" applyFont="1" applyFill="1" applyBorder="1" applyAlignment="1">
      <alignment/>
    </xf>
    <xf numFmtId="165" fontId="8" fillId="0" borderId="2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/>
    </xf>
    <xf numFmtId="0" fontId="6" fillId="0" borderId="10" xfId="57" applyFont="1" applyBorder="1">
      <alignment/>
      <protection/>
    </xf>
    <xf numFmtId="0" fontId="25" fillId="0" borderId="0" xfId="0" applyFont="1" applyAlignment="1">
      <alignment/>
    </xf>
    <xf numFmtId="0" fontId="12" fillId="0" borderId="0" xfId="59" applyFont="1" applyFill="1" applyBorder="1" applyAlignment="1">
      <alignment horizontal="center"/>
      <protection/>
    </xf>
    <xf numFmtId="167" fontId="6" fillId="0" borderId="22" xfId="0" applyNumberFormat="1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0" fontId="12" fillId="0" borderId="12" xfId="57" applyFont="1" applyFill="1" applyBorder="1" applyAlignment="1">
      <alignment horizontal="center"/>
      <protection/>
    </xf>
    <xf numFmtId="0" fontId="25" fillId="0" borderId="11" xfId="0" applyFont="1" applyBorder="1" applyAlignment="1">
      <alignment/>
    </xf>
    <xf numFmtId="167" fontId="6" fillId="0" borderId="16" xfId="0" applyNumberFormat="1" applyFont="1" applyBorder="1" applyAlignment="1">
      <alignment/>
    </xf>
    <xf numFmtId="0" fontId="6" fillId="0" borderId="16" xfId="57" applyFont="1" applyBorder="1">
      <alignment/>
      <protection/>
    </xf>
    <xf numFmtId="1" fontId="0" fillId="0" borderId="33" xfId="0" applyNumberFormat="1" applyBorder="1" applyAlignment="1">
      <alignment horizontal="center"/>
    </xf>
    <xf numFmtId="0" fontId="6" fillId="32" borderId="22" xfId="58" applyFont="1" applyFill="1" applyBorder="1" applyAlignment="1">
      <alignment horizontal="center"/>
      <protection/>
    </xf>
    <xf numFmtId="1" fontId="6" fillId="0" borderId="13" xfId="58" applyNumberFormat="1" applyFont="1" applyBorder="1" applyAlignment="1">
      <alignment horizontal="center"/>
      <protection/>
    </xf>
    <xf numFmtId="2" fontId="6" fillId="0" borderId="0" xfId="58" applyNumberFormat="1" applyFont="1" applyBorder="1" applyAlignment="1">
      <alignment horizontal="center"/>
      <protection/>
    </xf>
    <xf numFmtId="1" fontId="6" fillId="0" borderId="0" xfId="58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0" fontId="6" fillId="32" borderId="21" xfId="58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32" borderId="15" xfId="60" applyFont="1" applyFill="1" applyBorder="1" applyAlignment="1">
      <alignment/>
      <protection/>
    </xf>
    <xf numFmtId="0" fontId="6" fillId="32" borderId="16" xfId="60" applyFont="1" applyFill="1" applyBorder="1" applyAlignment="1">
      <alignment/>
      <protection/>
    </xf>
    <xf numFmtId="0" fontId="8" fillId="0" borderId="0" xfId="0" applyFont="1" applyAlignment="1">
      <alignment/>
    </xf>
    <xf numFmtId="0" fontId="6" fillId="32" borderId="11" xfId="60" applyFont="1" applyFill="1" applyBorder="1" applyAlignment="1">
      <alignment horizontal="center"/>
      <protection/>
    </xf>
    <xf numFmtId="2" fontId="6" fillId="0" borderId="1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6" fillId="32" borderId="10" xfId="60" applyFont="1" applyFill="1" applyBorder="1" applyAlignment="1">
      <alignment horizontal="center"/>
      <protection/>
    </xf>
    <xf numFmtId="2" fontId="10" fillId="0" borderId="18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 horizontal="center"/>
    </xf>
    <xf numFmtId="0" fontId="3" fillId="0" borderId="0" xfId="58" applyFont="1">
      <alignment/>
      <protection/>
    </xf>
    <xf numFmtId="0" fontId="8" fillId="32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6" fillId="32" borderId="19" xfId="61" applyNumberFormat="1" applyFont="1" applyFill="1" applyBorder="1" applyAlignment="1">
      <alignment horizontal="center"/>
      <protection/>
    </xf>
    <xf numFmtId="1" fontId="6" fillId="32" borderId="18" xfId="61" applyNumberFormat="1" applyFont="1" applyFill="1" applyBorder="1" applyAlignment="1">
      <alignment horizontal="center"/>
      <protection/>
    </xf>
    <xf numFmtId="2" fontId="6" fillId="32" borderId="18" xfId="0" applyNumberFormat="1" applyFont="1" applyFill="1" applyBorder="1" applyAlignment="1">
      <alignment horizontal="left"/>
    </xf>
    <xf numFmtId="0" fontId="0" fillId="32" borderId="18" xfId="0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2" fillId="32" borderId="19" xfId="57" applyFont="1" applyFill="1" applyBorder="1" applyAlignment="1">
      <alignment horizontal="center"/>
      <protection/>
    </xf>
    <xf numFmtId="0" fontId="13" fillId="32" borderId="23" xfId="0" applyFont="1" applyFill="1" applyBorder="1" applyAlignment="1">
      <alignment horizontal="center"/>
    </xf>
    <xf numFmtId="0" fontId="13" fillId="32" borderId="22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10" fillId="0" borderId="12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12" fillId="0" borderId="16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1" fontId="10" fillId="32" borderId="12" xfId="0" applyNumberFormat="1" applyFont="1" applyFill="1" applyBorder="1" applyAlignment="1" quotePrefix="1">
      <alignment horizontal="center"/>
    </xf>
    <xf numFmtId="2" fontId="6" fillId="0" borderId="10" xfId="0" applyNumberFormat="1" applyFont="1" applyBorder="1" applyAlignment="1">
      <alignment/>
    </xf>
    <xf numFmtId="0" fontId="0" fillId="32" borderId="16" xfId="0" applyFill="1" applyBorder="1" applyAlignment="1">
      <alignment/>
    </xf>
    <xf numFmtId="0" fontId="21" fillId="32" borderId="0" xfId="0" applyFont="1" applyFill="1" applyAlignment="1">
      <alignment/>
    </xf>
    <xf numFmtId="1" fontId="8" fillId="0" borderId="0" xfId="60" applyNumberFormat="1" applyFont="1" applyFill="1" applyBorder="1">
      <alignment/>
      <protection/>
    </xf>
    <xf numFmtId="2" fontId="6" fillId="0" borderId="0" xfId="60" applyNumberFormat="1" applyFont="1" applyFill="1" applyBorder="1">
      <alignment/>
      <protection/>
    </xf>
    <xf numFmtId="1" fontId="8" fillId="0" borderId="18" xfId="60" applyNumberFormat="1" applyFont="1" applyFill="1" applyBorder="1">
      <alignment/>
      <protection/>
    </xf>
    <xf numFmtId="1" fontId="0" fillId="0" borderId="20" xfId="0" applyNumberFormat="1" applyBorder="1" applyAlignment="1">
      <alignment/>
    </xf>
    <xf numFmtId="0" fontId="35" fillId="0" borderId="0" xfId="0" applyFont="1" applyAlignment="1">
      <alignment/>
    </xf>
    <xf numFmtId="0" fontId="36" fillId="0" borderId="0" xfId="58" applyFont="1" applyBorder="1">
      <alignment/>
      <protection/>
    </xf>
    <xf numFmtId="0" fontId="37" fillId="0" borderId="0" xfId="58" applyFont="1" applyBorder="1">
      <alignment/>
      <protection/>
    </xf>
    <xf numFmtId="165" fontId="20" fillId="0" borderId="25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8" fillId="34" borderId="13" xfId="0" applyNumberFormat="1" applyFont="1" applyFill="1" applyBorder="1" applyAlignment="1" quotePrefix="1">
      <alignment horizontal="center"/>
    </xf>
    <xf numFmtId="1" fontId="21" fillId="35" borderId="13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2" fontId="11" fillId="0" borderId="17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60" applyFont="1" applyFill="1" applyBorder="1">
      <alignment/>
      <protection/>
    </xf>
    <xf numFmtId="0" fontId="0" fillId="0" borderId="13" xfId="0" applyBorder="1" applyAlignment="1">
      <alignment/>
    </xf>
    <xf numFmtId="0" fontId="38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 vertical="top" wrapText="1"/>
    </xf>
    <xf numFmtId="6" fontId="6" fillId="32" borderId="0" xfId="0" applyNumberFormat="1" applyFont="1" applyFill="1" applyBorder="1" applyAlignment="1" quotePrefix="1">
      <alignment horizontal="center"/>
    </xf>
    <xf numFmtId="2" fontId="6" fillId="0" borderId="11" xfId="61" applyNumberFormat="1" applyFont="1" applyBorder="1" applyAlignment="1">
      <alignment/>
      <protection/>
    </xf>
    <xf numFmtId="0" fontId="6" fillId="0" borderId="13" xfId="60" applyFont="1" applyFill="1" applyBorder="1" applyAlignment="1">
      <alignment/>
      <protection/>
    </xf>
    <xf numFmtId="167" fontId="12" fillId="0" borderId="16" xfId="61" applyNumberFormat="1" applyFont="1" applyBorder="1">
      <alignment/>
      <protection/>
    </xf>
    <xf numFmtId="169" fontId="6" fillId="0" borderId="0" xfId="61" applyNumberFormat="1" applyFont="1" applyBorder="1">
      <alignment/>
      <protection/>
    </xf>
    <xf numFmtId="6" fontId="6" fillId="32" borderId="0" xfId="0" applyNumberFormat="1" applyFont="1" applyFill="1" applyBorder="1" applyAlignment="1">
      <alignment horizontal="center"/>
    </xf>
    <xf numFmtId="17" fontId="6" fillId="32" borderId="16" xfId="0" applyNumberFormat="1" applyFont="1" applyFill="1" applyBorder="1" applyAlignment="1">
      <alignment horizontal="center"/>
    </xf>
    <xf numFmtId="166" fontId="11" fillId="34" borderId="18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165" fontId="6" fillId="0" borderId="0" xfId="61" applyNumberFormat="1" applyFont="1" applyFill="1" applyBorder="1">
      <alignment/>
      <protection/>
    </xf>
    <xf numFmtId="0" fontId="10" fillId="32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6" fontId="6" fillId="0" borderId="0" xfId="61" applyNumberFormat="1" applyFont="1" applyBorder="1">
      <alignment/>
      <protection/>
    </xf>
    <xf numFmtId="1" fontId="6" fillId="0" borderId="10" xfId="0" applyNumberFormat="1" applyFont="1" applyBorder="1" applyAlignment="1">
      <alignment/>
    </xf>
    <xf numFmtId="1" fontId="10" fillId="0" borderId="0" xfId="60" applyNumberFormat="1" applyFont="1" applyBorder="1">
      <alignment/>
      <protection/>
    </xf>
    <xf numFmtId="169" fontId="6" fillId="0" borderId="1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21" fillId="0" borderId="10" xfId="0" applyFont="1" applyBorder="1" applyAlignment="1">
      <alignment/>
    </xf>
    <xf numFmtId="1" fontId="38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1" fontId="21" fillId="0" borderId="15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167" fontId="6" fillId="0" borderId="13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7" fontId="6" fillId="0" borderId="11" xfId="59" applyNumberFormat="1" applyFont="1" applyBorder="1" applyAlignment="1">
      <alignment/>
      <protection/>
    </xf>
    <xf numFmtId="167" fontId="6" fillId="0" borderId="0" xfId="59" applyNumberFormat="1" applyFont="1" applyBorder="1" applyAlignment="1">
      <alignment/>
      <protection/>
    </xf>
    <xf numFmtId="167" fontId="6" fillId="0" borderId="13" xfId="59" applyNumberFormat="1" applyFont="1" applyBorder="1" applyAlignment="1">
      <alignment/>
      <protection/>
    </xf>
    <xf numFmtId="167" fontId="6" fillId="0" borderId="13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21" fillId="0" borderId="22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9" fontId="6" fillId="0" borderId="17" xfId="0" applyNumberFormat="1" applyFont="1" applyFill="1" applyBorder="1" applyAlignment="1">
      <alignment/>
    </xf>
    <xf numFmtId="0" fontId="6" fillId="32" borderId="25" xfId="0" applyFont="1" applyFill="1" applyBorder="1" applyAlignment="1">
      <alignment vertical="top" wrapText="1"/>
    </xf>
    <xf numFmtId="0" fontId="6" fillId="32" borderId="0" xfId="0" applyFont="1" applyFill="1" applyBorder="1" applyAlignment="1">
      <alignment vertical="top" wrapText="1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6" fillId="32" borderId="34" xfId="0" applyFont="1" applyFill="1" applyBorder="1" applyAlignment="1">
      <alignment vertical="top" wrapText="1"/>
    </xf>
    <xf numFmtId="0" fontId="6" fillId="32" borderId="35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/>
    </xf>
    <xf numFmtId="1" fontId="6" fillId="0" borderId="12" xfId="57" applyNumberFormat="1" applyFont="1" applyFill="1" applyBorder="1" applyAlignment="1">
      <alignment horizontal="center"/>
      <protection/>
    </xf>
    <xf numFmtId="1" fontId="6" fillId="0" borderId="13" xfId="0" applyNumberFormat="1" applyFont="1" applyFill="1" applyBorder="1" applyAlignment="1">
      <alignment/>
    </xf>
    <xf numFmtId="1" fontId="6" fillId="0" borderId="17" xfId="57" applyNumberFormat="1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6" fillId="32" borderId="36" xfId="0" applyFont="1" applyFill="1" applyBorder="1" applyAlignment="1">
      <alignment horizontal="center" vertical="top" wrapText="1"/>
    </xf>
    <xf numFmtId="0" fontId="6" fillId="32" borderId="24" xfId="0" applyFont="1" applyFill="1" applyBorder="1" applyAlignment="1">
      <alignment horizontal="center" vertical="top" wrapText="1"/>
    </xf>
    <xf numFmtId="0" fontId="6" fillId="32" borderId="25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2" fontId="10" fillId="0" borderId="10" xfId="0" applyNumberFormat="1" applyFont="1" applyBorder="1" applyAlignment="1">
      <alignment/>
    </xf>
    <xf numFmtId="165" fontId="6" fillId="0" borderId="24" xfId="57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1" fontId="23" fillId="0" borderId="22" xfId="58" applyNumberFormat="1" applyFont="1" applyBorder="1">
      <alignment/>
      <protection/>
    </xf>
    <xf numFmtId="1" fontId="23" fillId="0" borderId="13" xfId="58" applyNumberFormat="1" applyFont="1" applyBorder="1">
      <alignment/>
      <protection/>
    </xf>
    <xf numFmtId="1" fontId="8" fillId="0" borderId="16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6" fillId="32" borderId="18" xfId="0" applyFont="1" applyFill="1" applyBorder="1" applyAlignment="1">
      <alignment/>
    </xf>
    <xf numFmtId="2" fontId="6" fillId="0" borderId="14" xfId="61" applyNumberFormat="1" applyFont="1" applyBorder="1">
      <alignment/>
      <protection/>
    </xf>
    <xf numFmtId="2" fontId="6" fillId="0" borderId="16" xfId="61" applyNumberFormat="1" applyFont="1" applyBorder="1" applyAlignment="1">
      <alignment horizontal="center"/>
      <protection/>
    </xf>
    <xf numFmtId="2" fontId="6" fillId="0" borderId="15" xfId="61" applyNumberFormat="1" applyFont="1" applyBorder="1" applyAlignment="1">
      <alignment horizontal="left"/>
      <protection/>
    </xf>
    <xf numFmtId="166" fontId="6" fillId="0" borderId="16" xfId="61" applyNumberFormat="1" applyFont="1" applyBorder="1">
      <alignment/>
      <protection/>
    </xf>
    <xf numFmtId="0" fontId="10" fillId="0" borderId="17" xfId="0" applyFont="1" applyBorder="1" applyAlignment="1">
      <alignment/>
    </xf>
    <xf numFmtId="0" fontId="8" fillId="32" borderId="23" xfId="60" applyFont="1" applyFill="1" applyBorder="1">
      <alignment/>
      <protection/>
    </xf>
    <xf numFmtId="0" fontId="0" fillId="32" borderId="23" xfId="0" applyFill="1" applyBorder="1" applyAlignment="1">
      <alignment/>
    </xf>
    <xf numFmtId="0" fontId="6" fillId="32" borderId="23" xfId="60" applyFont="1" applyFill="1" applyBorder="1">
      <alignment/>
      <protection/>
    </xf>
    <xf numFmtId="0" fontId="10" fillId="32" borderId="23" xfId="60" applyFont="1" applyFill="1" applyBorder="1" applyAlignment="1">
      <alignment horizontal="center"/>
      <protection/>
    </xf>
    <xf numFmtId="0" fontId="8" fillId="32" borderId="21" xfId="60" applyFont="1" applyFill="1" applyBorder="1" applyAlignment="1">
      <alignment horizontal="center"/>
      <protection/>
    </xf>
    <xf numFmtId="0" fontId="0" fillId="32" borderId="21" xfId="0" applyFill="1" applyBorder="1" applyAlignment="1">
      <alignment/>
    </xf>
    <xf numFmtId="0" fontId="6" fillId="32" borderId="21" xfId="60" applyFont="1" applyFill="1" applyBorder="1">
      <alignment/>
      <protection/>
    </xf>
    <xf numFmtId="2" fontId="10" fillId="32" borderId="21" xfId="60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center"/>
    </xf>
    <xf numFmtId="166" fontId="11" fillId="34" borderId="10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165" fontId="12" fillId="32" borderId="16" xfId="0" applyNumberFormat="1" applyFont="1" applyFill="1" applyBorder="1" applyAlignment="1">
      <alignment horizontal="center"/>
    </xf>
    <xf numFmtId="166" fontId="11" fillId="0" borderId="18" xfId="0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/>
    </xf>
    <xf numFmtId="9" fontId="12" fillId="0" borderId="0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" fontId="11" fillId="0" borderId="31" xfId="60" applyNumberFormat="1" applyFont="1" applyFill="1" applyBorder="1">
      <alignment/>
      <protection/>
    </xf>
    <xf numFmtId="0" fontId="0" fillId="0" borderId="13" xfId="0" applyFill="1" applyBorder="1" applyAlignment="1">
      <alignment/>
    </xf>
    <xf numFmtId="0" fontId="8" fillId="32" borderId="19" xfId="0" applyFont="1" applyFill="1" applyBorder="1" applyAlignment="1">
      <alignment/>
    </xf>
    <xf numFmtId="0" fontId="21" fillId="32" borderId="18" xfId="0" applyFont="1" applyFill="1" applyBorder="1" applyAlignment="1">
      <alignment/>
    </xf>
    <xf numFmtId="0" fontId="8" fillId="32" borderId="18" xfId="60" applyFont="1" applyFill="1" applyBorder="1" applyAlignment="1">
      <alignment horizontal="center"/>
      <protection/>
    </xf>
    <xf numFmtId="2" fontId="11" fillId="0" borderId="18" xfId="0" applyNumberFormat="1" applyFont="1" applyFill="1" applyBorder="1" applyAlignment="1">
      <alignment/>
    </xf>
    <xf numFmtId="1" fontId="11" fillId="0" borderId="18" xfId="60" applyNumberFormat="1" applyFont="1" applyFill="1" applyBorder="1">
      <alignment/>
      <protection/>
    </xf>
    <xf numFmtId="0" fontId="6" fillId="0" borderId="0" xfId="0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32" borderId="16" xfId="60" applyFont="1" applyFill="1" applyBorder="1" applyAlignment="1">
      <alignment horizontal="center"/>
      <protection/>
    </xf>
    <xf numFmtId="1" fontId="8" fillId="0" borderId="31" xfId="60" applyNumberFormat="1" applyFont="1" applyFill="1" applyBorder="1">
      <alignment/>
      <protection/>
    </xf>
    <xf numFmtId="0" fontId="6" fillId="0" borderId="23" xfId="60" applyFont="1" applyBorder="1">
      <alignment/>
      <protection/>
    </xf>
    <xf numFmtId="0" fontId="6" fillId="32" borderId="34" xfId="0" applyFont="1" applyFill="1" applyBorder="1" applyAlignment="1">
      <alignment horizontal="center" vertical="top" wrapText="1"/>
    </xf>
    <xf numFmtId="0" fontId="6" fillId="32" borderId="35" xfId="0" applyFont="1" applyFill="1" applyBorder="1" applyAlignment="1">
      <alignment horizontal="center" vertical="top" wrapText="1"/>
    </xf>
    <xf numFmtId="1" fontId="6" fillId="0" borderId="24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24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165" fontId="20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8" fillId="32" borderId="29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166" fontId="13" fillId="0" borderId="0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9" fontId="12" fillId="0" borderId="16" xfId="61" applyNumberFormat="1" applyFont="1" applyBorder="1">
      <alignment/>
      <protection/>
    </xf>
    <xf numFmtId="168" fontId="6" fillId="0" borderId="0" xfId="58" applyNumberFormat="1" applyFont="1" applyBorder="1" applyAlignment="1">
      <alignment horizontal="left"/>
      <protection/>
    </xf>
    <xf numFmtId="0" fontId="8" fillId="36" borderId="19" xfId="60" applyFont="1" applyFill="1" applyBorder="1">
      <alignment/>
      <protection/>
    </xf>
    <xf numFmtId="0" fontId="21" fillId="36" borderId="10" xfId="0" applyFont="1" applyFill="1" applyBorder="1" applyAlignment="1">
      <alignment/>
    </xf>
    <xf numFmtId="0" fontId="8" fillId="36" borderId="18" xfId="60" applyFont="1" applyFill="1" applyBorder="1">
      <alignment/>
      <protection/>
    </xf>
    <xf numFmtId="0" fontId="8" fillId="36" borderId="20" xfId="60" applyFont="1" applyFill="1" applyBorder="1" applyAlignment="1">
      <alignment horizontal="center"/>
      <protection/>
    </xf>
    <xf numFmtId="1" fontId="8" fillId="36" borderId="20" xfId="60" applyNumberFormat="1" applyFont="1" applyFill="1" applyBorder="1">
      <alignment/>
      <protection/>
    </xf>
    <xf numFmtId="0" fontId="6" fillId="36" borderId="18" xfId="0" applyFont="1" applyFill="1" applyBorder="1" applyAlignment="1">
      <alignment/>
    </xf>
    <xf numFmtId="166" fontId="11" fillId="36" borderId="18" xfId="0" applyNumberFormat="1" applyFont="1" applyFill="1" applyBorder="1" applyAlignment="1">
      <alignment/>
    </xf>
    <xf numFmtId="1" fontId="11" fillId="36" borderId="20" xfId="60" applyNumberFormat="1" applyFont="1" applyFill="1" applyBorder="1">
      <alignment/>
      <protection/>
    </xf>
    <xf numFmtId="1" fontId="6" fillId="0" borderId="22" xfId="60" applyNumberFormat="1" applyFont="1" applyBorder="1">
      <alignment/>
      <protection/>
    </xf>
    <xf numFmtId="1" fontId="6" fillId="0" borderId="22" xfId="60" applyNumberFormat="1" applyFont="1" applyFill="1" applyBorder="1">
      <alignment/>
      <protection/>
    </xf>
    <xf numFmtId="1" fontId="6" fillId="0" borderId="23" xfId="60" applyNumberFormat="1" applyFont="1" applyBorder="1">
      <alignment/>
      <protection/>
    </xf>
    <xf numFmtId="0" fontId="6" fillId="0" borderId="22" xfId="60" applyFont="1" applyBorder="1">
      <alignment/>
      <protection/>
    </xf>
    <xf numFmtId="166" fontId="11" fillId="0" borderId="1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" fontId="8" fillId="36" borderId="18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16" xfId="60" applyFont="1" applyBorder="1">
      <alignment/>
      <protection/>
    </xf>
    <xf numFmtId="0" fontId="6" fillId="0" borderId="11" xfId="60" applyFont="1" applyFill="1" applyBorder="1">
      <alignment/>
      <protection/>
    </xf>
    <xf numFmtId="1" fontId="6" fillId="0" borderId="13" xfId="60" applyNumberFormat="1" applyFont="1" applyFill="1" applyBorder="1">
      <alignment/>
      <protection/>
    </xf>
    <xf numFmtId="1" fontId="6" fillId="34" borderId="13" xfId="0" applyNumberFormat="1" applyFont="1" applyFill="1" applyBorder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1" fontId="11" fillId="36" borderId="18" xfId="60" applyNumberFormat="1" applyFont="1" applyFill="1" applyBorder="1">
      <alignment/>
      <protection/>
    </xf>
    <xf numFmtId="0" fontId="0" fillId="36" borderId="18" xfId="0" applyFill="1" applyBorder="1" applyAlignment="1">
      <alignment/>
    </xf>
    <xf numFmtId="2" fontId="11" fillId="36" borderId="18" xfId="0" applyNumberFormat="1" applyFont="1" applyFill="1" applyBorder="1" applyAlignment="1">
      <alignment/>
    </xf>
    <xf numFmtId="1" fontId="8" fillId="36" borderId="18" xfId="60" applyNumberFormat="1" applyFont="1" applyFill="1" applyBorder="1">
      <alignment/>
      <protection/>
    </xf>
    <xf numFmtId="0" fontId="0" fillId="36" borderId="18" xfId="0" applyFont="1" applyFill="1" applyBorder="1" applyAlignment="1">
      <alignment/>
    </xf>
    <xf numFmtId="165" fontId="25" fillId="0" borderId="0" xfId="0" applyNumberFormat="1" applyFont="1" applyAlignment="1">
      <alignment/>
    </xf>
    <xf numFmtId="0" fontId="12" fillId="0" borderId="0" xfId="60" applyFont="1" applyFill="1" applyBorder="1" applyAlignment="1">
      <alignment horizontal="center"/>
      <protection/>
    </xf>
    <xf numFmtId="16" fontId="0" fillId="0" borderId="0" xfId="0" applyNumberFormat="1" applyBorder="1" applyAlignment="1">
      <alignment/>
    </xf>
    <xf numFmtId="16" fontId="25" fillId="0" borderId="0" xfId="0" applyNumberFormat="1" applyFont="1" applyAlignment="1">
      <alignment/>
    </xf>
    <xf numFmtId="16" fontId="25" fillId="0" borderId="0" xfId="0" applyNumberFormat="1" applyFont="1" applyBorder="1" applyAlignment="1">
      <alignment/>
    </xf>
    <xf numFmtId="169" fontId="8" fillId="0" borderId="22" xfId="57" applyNumberFormat="1" applyFont="1" applyBorder="1" applyAlignment="1">
      <alignment horizontal="center"/>
      <protection/>
    </xf>
    <xf numFmtId="169" fontId="8" fillId="0" borderId="22" xfId="0" applyNumberFormat="1" applyFont="1" applyBorder="1" applyAlignment="1">
      <alignment horizontal="center"/>
    </xf>
    <xf numFmtId="169" fontId="8" fillId="0" borderId="22" xfId="0" applyNumberFormat="1" applyFont="1" applyFill="1" applyBorder="1" applyAlignment="1">
      <alignment horizontal="center"/>
    </xf>
    <xf numFmtId="169" fontId="8" fillId="0" borderId="21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 vertical="top" wrapText="1"/>
    </xf>
    <xf numFmtId="0" fontId="12" fillId="32" borderId="11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2" fillId="32" borderId="15" xfId="0" applyFont="1" applyFill="1" applyBorder="1" applyAlignment="1">
      <alignment horizontal="center"/>
    </xf>
    <xf numFmtId="0" fontId="15" fillId="32" borderId="12" xfId="0" applyFont="1" applyFill="1" applyBorder="1" applyAlignment="1">
      <alignment/>
    </xf>
    <xf numFmtId="0" fontId="15" fillId="32" borderId="14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6" fillId="32" borderId="0" xfId="0" applyFont="1" applyFill="1" applyAlignment="1" quotePrefix="1">
      <alignment/>
    </xf>
    <xf numFmtId="2" fontId="6" fillId="0" borderId="16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6" fillId="32" borderId="23" xfId="60" applyFont="1" applyFill="1" applyBorder="1" applyAlignment="1" quotePrefix="1">
      <alignment horizontal="center"/>
      <protection/>
    </xf>
    <xf numFmtId="0" fontId="0" fillId="32" borderId="0" xfId="0" applyFont="1" applyFill="1" applyBorder="1" applyAlignment="1">
      <alignment/>
    </xf>
    <xf numFmtId="1" fontId="6" fillId="0" borderId="15" xfId="0" applyNumberFormat="1" applyFont="1" applyBorder="1" applyAlignment="1">
      <alignment/>
    </xf>
    <xf numFmtId="1" fontId="8" fillId="0" borderId="16" xfId="60" applyNumberFormat="1" applyFont="1" applyFill="1" applyBorder="1">
      <alignment/>
      <protection/>
    </xf>
    <xf numFmtId="2" fontId="6" fillId="0" borderId="16" xfId="60" applyNumberFormat="1" applyFont="1" applyFill="1" applyBorder="1">
      <alignment/>
      <protection/>
    </xf>
    <xf numFmtId="2" fontId="10" fillId="0" borderId="16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175" fontId="6" fillId="0" borderId="0" xfId="44" applyNumberFormat="1" applyFont="1" applyAlignment="1">
      <alignment horizontal="center"/>
    </xf>
    <xf numFmtId="3" fontId="6" fillId="0" borderId="0" xfId="0" applyNumberFormat="1" applyFont="1" applyAlignment="1">
      <alignment/>
    </xf>
    <xf numFmtId="177" fontId="6" fillId="0" borderId="0" xfId="42" applyNumberFormat="1" applyFont="1" applyAlignment="1">
      <alignment/>
    </xf>
    <xf numFmtId="175" fontId="6" fillId="0" borderId="0" xfId="44" applyNumberFormat="1" applyFont="1" applyFill="1" applyBorder="1" applyAlignment="1">
      <alignment horizontal="center"/>
    </xf>
    <xf numFmtId="44" fontId="6" fillId="0" borderId="0" xfId="44" applyFont="1" applyAlignment="1">
      <alignment/>
    </xf>
    <xf numFmtId="175" fontId="6" fillId="0" borderId="0" xfId="44" applyNumberFormat="1" applyFont="1" applyAlignment="1">
      <alignment/>
    </xf>
    <xf numFmtId="1" fontId="6" fillId="0" borderId="0" xfId="44" applyNumberFormat="1" applyFont="1" applyAlignment="1">
      <alignment/>
    </xf>
    <xf numFmtId="0" fontId="8" fillId="0" borderId="10" xfId="0" applyFont="1" applyBorder="1" applyAlignment="1">
      <alignment/>
    </xf>
    <xf numFmtId="177" fontId="8" fillId="0" borderId="0" xfId="42" applyNumberFormat="1" applyFont="1" applyAlignment="1">
      <alignment/>
    </xf>
    <xf numFmtId="166" fontId="6" fillId="0" borderId="18" xfId="0" applyNumberFormat="1" applyFont="1" applyBorder="1" applyAlignment="1">
      <alignment horizontal="center"/>
    </xf>
    <xf numFmtId="2" fontId="6" fillId="32" borderId="16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2" fontId="6" fillId="32" borderId="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2" fontId="8" fillId="0" borderId="1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/>
    </xf>
    <xf numFmtId="165" fontId="8" fillId="0" borderId="0" xfId="0" applyNumberFormat="1" applyFont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6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3" fillId="0" borderId="16" xfId="58" applyFont="1" applyFill="1" applyBorder="1">
      <alignment/>
      <protection/>
    </xf>
    <xf numFmtId="165" fontId="6" fillId="0" borderId="17" xfId="58" applyNumberFormat="1" applyFont="1" applyBorder="1" applyAlignment="1">
      <alignment horizontal="center"/>
      <protection/>
    </xf>
    <xf numFmtId="167" fontId="12" fillId="0" borderId="14" xfId="58" applyNumberFormat="1" applyFont="1" applyBorder="1" applyAlignment="1">
      <alignment horizontal="center"/>
      <protection/>
    </xf>
    <xf numFmtId="167" fontId="12" fillId="0" borderId="16" xfId="0" applyNumberFormat="1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0" fontId="13" fillId="32" borderId="0" xfId="59" applyFont="1" applyFill="1" applyBorder="1">
      <alignment/>
      <protection/>
    </xf>
    <xf numFmtId="1" fontId="12" fillId="32" borderId="13" xfId="61" applyNumberFormat="1" applyFont="1" applyFill="1" applyBorder="1" applyAlignment="1">
      <alignment horizontal="left"/>
      <protection/>
    </xf>
    <xf numFmtId="165" fontId="10" fillId="0" borderId="17" xfId="0" applyNumberFormat="1" applyFont="1" applyBorder="1" applyAlignment="1">
      <alignment/>
    </xf>
    <xf numFmtId="1" fontId="8" fillId="0" borderId="33" xfId="0" applyNumberFormat="1" applyFont="1" applyBorder="1" applyAlignment="1">
      <alignment horizontal="center" vertical="top" wrapText="1"/>
    </xf>
    <xf numFmtId="1" fontId="6" fillId="0" borderId="0" xfId="61" applyNumberFormat="1" applyFont="1" applyFill="1" applyBorder="1" applyAlignment="1">
      <alignment horizontal="center"/>
      <protection/>
    </xf>
    <xf numFmtId="166" fontId="6" fillId="0" borderId="10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1" fontId="12" fillId="32" borderId="13" xfId="0" applyNumberFormat="1" applyFont="1" applyFill="1" applyBorder="1" applyAlignment="1">
      <alignment horizontal="right"/>
    </xf>
    <xf numFmtId="0" fontId="12" fillId="0" borderId="31" xfId="0" applyFont="1" applyBorder="1" applyAlignment="1">
      <alignment/>
    </xf>
    <xf numFmtId="9" fontId="1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8" fillId="0" borderId="0" xfId="58" applyFont="1" applyBorder="1">
      <alignment/>
      <protection/>
    </xf>
    <xf numFmtId="0" fontId="5" fillId="0" borderId="0" xfId="0" applyFont="1" applyBorder="1" applyAlignment="1">
      <alignment horizontal="left"/>
    </xf>
    <xf numFmtId="0" fontId="18" fillId="0" borderId="0" xfId="58" applyFont="1" applyFill="1" applyBorder="1" applyAlignment="1">
      <alignment horizontal="left"/>
      <protection/>
    </xf>
    <xf numFmtId="0" fontId="12" fillId="0" borderId="10" xfId="58" applyFont="1" applyFill="1" applyBorder="1" applyAlignment="1">
      <alignment horizontal="center"/>
      <protection/>
    </xf>
    <xf numFmtId="167" fontId="12" fillId="0" borderId="10" xfId="58" applyNumberFormat="1" applyFont="1" applyBorder="1" applyAlignment="1">
      <alignment horizontal="center"/>
      <protection/>
    </xf>
    <xf numFmtId="167" fontId="12" fillId="0" borderId="19" xfId="58" applyNumberFormat="1" applyFont="1" applyBorder="1" applyAlignment="1">
      <alignment horizontal="center"/>
      <protection/>
    </xf>
    <xf numFmtId="167" fontId="12" fillId="0" borderId="18" xfId="58" applyNumberFormat="1" applyFont="1" applyBorder="1" applyAlignment="1">
      <alignment horizontal="center"/>
      <protection/>
    </xf>
    <xf numFmtId="167" fontId="12" fillId="0" borderId="20" xfId="58" applyNumberFormat="1" applyFont="1" applyBorder="1" applyAlignment="1">
      <alignment horizontal="center"/>
      <protection/>
    </xf>
    <xf numFmtId="0" fontId="12" fillId="32" borderId="31" xfId="58" applyFont="1" applyFill="1" applyBorder="1" applyAlignment="1">
      <alignment horizontal="center"/>
      <protection/>
    </xf>
    <xf numFmtId="1" fontId="23" fillId="0" borderId="15" xfId="58" applyNumberFormat="1" applyFont="1" applyBorder="1">
      <alignment/>
      <protection/>
    </xf>
    <xf numFmtId="167" fontId="25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Border="1" applyAlignment="1">
      <alignment/>
    </xf>
    <xf numFmtId="2" fontId="3" fillId="0" borderId="21" xfId="58" applyNumberFormat="1" applyFont="1" applyBorder="1">
      <alignment/>
      <protection/>
    </xf>
    <xf numFmtId="167" fontId="0" fillId="0" borderId="21" xfId="0" applyNumberFormat="1" applyBorder="1" applyAlignment="1">
      <alignment/>
    </xf>
    <xf numFmtId="0" fontId="12" fillId="0" borderId="0" xfId="58" applyFont="1" applyBorder="1">
      <alignment/>
      <protection/>
    </xf>
    <xf numFmtId="165" fontId="3" fillId="0" borderId="14" xfId="58" applyNumberFormat="1" applyBorder="1">
      <alignment/>
      <protection/>
    </xf>
    <xf numFmtId="167" fontId="3" fillId="0" borderId="21" xfId="58" applyNumberFormat="1" applyFont="1" applyBorder="1">
      <alignment/>
      <protection/>
    </xf>
    <xf numFmtId="0" fontId="12" fillId="0" borderId="0" xfId="58" applyFont="1" applyFill="1" applyBorder="1" applyAlignment="1">
      <alignment horizontal="left"/>
      <protection/>
    </xf>
    <xf numFmtId="165" fontId="8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165" fontId="8" fillId="0" borderId="22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0" fillId="0" borderId="15" xfId="0" applyNumberForma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16" xfId="57" applyFont="1" applyFill="1" applyBorder="1">
      <alignment/>
      <protection/>
    </xf>
    <xf numFmtId="1" fontId="8" fillId="0" borderId="22" xfId="57" applyNumberFormat="1" applyFont="1" applyBorder="1" applyAlignment="1">
      <alignment horizontal="center"/>
      <protection/>
    </xf>
    <xf numFmtId="1" fontId="6" fillId="0" borderId="22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7" fontId="12" fillId="0" borderId="11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3" xfId="57" applyFont="1" applyFill="1" applyBorder="1" applyAlignment="1">
      <alignment horizontal="center"/>
      <protection/>
    </xf>
    <xf numFmtId="0" fontId="13" fillId="32" borderId="11" xfId="57" applyFont="1" applyFill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0" fillId="32" borderId="15" xfId="0" applyFill="1" applyBorder="1" applyAlignment="1">
      <alignment horizontal="center"/>
    </xf>
    <xf numFmtId="0" fontId="13" fillId="32" borderId="23" xfId="57" applyFont="1" applyFill="1" applyBorder="1">
      <alignment/>
      <protection/>
    </xf>
    <xf numFmtId="0" fontId="12" fillId="32" borderId="22" xfId="57" applyFont="1" applyFill="1" applyBorder="1" applyAlignment="1">
      <alignment horizontal="center"/>
      <protection/>
    </xf>
    <xf numFmtId="0" fontId="6" fillId="0" borderId="23" xfId="57" applyFont="1" applyBorder="1" applyAlignment="1">
      <alignment horizontal="center"/>
      <protection/>
    </xf>
    <xf numFmtId="0" fontId="6" fillId="0" borderId="22" xfId="57" applyFon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9" fontId="12" fillId="0" borderId="23" xfId="0" applyNumberFormat="1" applyFont="1" applyBorder="1" applyAlignment="1">
      <alignment horizontal="center"/>
    </xf>
    <xf numFmtId="9" fontId="12" fillId="0" borderId="21" xfId="0" applyNumberFormat="1" applyFont="1" applyBorder="1" applyAlignment="1">
      <alignment horizontal="center"/>
    </xf>
    <xf numFmtId="9" fontId="12" fillId="0" borderId="11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9" fontId="12" fillId="0" borderId="12" xfId="0" applyNumberFormat="1" applyFont="1" applyBorder="1" applyAlignment="1">
      <alignment horizontal="center"/>
    </xf>
    <xf numFmtId="9" fontId="12" fillId="0" borderId="15" xfId="0" applyNumberFormat="1" applyFont="1" applyBorder="1" applyAlignment="1">
      <alignment horizontal="center"/>
    </xf>
    <xf numFmtId="9" fontId="12" fillId="0" borderId="16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0" fontId="0" fillId="32" borderId="11" xfId="0" applyFill="1" applyBorder="1" applyAlignment="1">
      <alignment/>
    </xf>
    <xf numFmtId="0" fontId="13" fillId="32" borderId="22" xfId="57" applyFont="1" applyFill="1" applyBorder="1">
      <alignment/>
      <protection/>
    </xf>
    <xf numFmtId="1" fontId="0" fillId="0" borderId="22" xfId="0" applyNumberFormat="1" applyBorder="1" applyAlignment="1">
      <alignment horizontal="center"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32" borderId="31" xfId="0" applyFill="1" applyBorder="1" applyAlignment="1">
      <alignment horizontal="center"/>
    </xf>
    <xf numFmtId="1" fontId="6" fillId="0" borderId="37" xfId="0" applyNumberFormat="1" applyFont="1" applyBorder="1" applyAlignment="1">
      <alignment horizontal="center" vertical="top" wrapText="1"/>
    </xf>
    <xf numFmtId="166" fontId="6" fillId="0" borderId="38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 vertical="top" wrapText="1"/>
    </xf>
    <xf numFmtId="165" fontId="6" fillId="0" borderId="38" xfId="0" applyNumberFormat="1" applyFont="1" applyBorder="1" applyAlignment="1">
      <alignment horizontal="center" vertical="top" wrapText="1"/>
    </xf>
    <xf numFmtId="166" fontId="6" fillId="0" borderId="38" xfId="0" applyNumberFormat="1" applyFont="1" applyBorder="1" applyAlignment="1">
      <alignment horizontal="center" vertical="top" wrapText="1"/>
    </xf>
    <xf numFmtId="1" fontId="0" fillId="0" borderId="39" xfId="0" applyNumberFormat="1" applyBorder="1" applyAlignment="1">
      <alignment horizontal="center"/>
    </xf>
    <xf numFmtId="165" fontId="28" fillId="0" borderId="29" xfId="0" applyNumberFormat="1" applyFont="1" applyBorder="1" applyAlignment="1">
      <alignment horizontal="center" vertical="top" wrapText="1"/>
    </xf>
    <xf numFmtId="165" fontId="28" fillId="0" borderId="40" xfId="0" applyNumberFormat="1" applyFont="1" applyBorder="1" applyAlignment="1">
      <alignment horizontal="center" vertical="top" wrapText="1"/>
    </xf>
    <xf numFmtId="1" fontId="8" fillId="0" borderId="41" xfId="0" applyNumberFormat="1" applyFont="1" applyBorder="1" applyAlignment="1">
      <alignment horizontal="center" vertical="top" wrapText="1"/>
    </xf>
    <xf numFmtId="1" fontId="8" fillId="0" borderId="29" xfId="0" applyNumberFormat="1" applyFont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 wrapText="1"/>
    </xf>
    <xf numFmtId="0" fontId="6" fillId="32" borderId="27" xfId="0" applyFont="1" applyFill="1" applyBorder="1" applyAlignment="1">
      <alignment vertical="top" wrapText="1"/>
    </xf>
    <xf numFmtId="0" fontId="6" fillId="32" borderId="42" xfId="0" applyFont="1" applyFill="1" applyBorder="1" applyAlignment="1">
      <alignment vertical="top" wrapText="1"/>
    </xf>
    <xf numFmtId="0" fontId="6" fillId="32" borderId="43" xfId="0" applyFont="1" applyFill="1" applyBorder="1" applyAlignment="1">
      <alignment vertical="top" wrapText="1"/>
    </xf>
    <xf numFmtId="0" fontId="6" fillId="32" borderId="44" xfId="0" applyFont="1" applyFill="1" applyBorder="1" applyAlignment="1">
      <alignment vertical="top" wrapText="1"/>
    </xf>
    <xf numFmtId="0" fontId="6" fillId="32" borderId="44" xfId="0" applyFont="1" applyFill="1" applyBorder="1" applyAlignment="1">
      <alignment horizontal="center" vertical="top" wrapText="1"/>
    </xf>
    <xf numFmtId="1" fontId="0" fillId="0" borderId="43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65" fontId="20" fillId="0" borderId="10" xfId="0" applyNumberFormat="1" applyFont="1" applyBorder="1" applyAlignment="1">
      <alignment horizontal="center" vertical="top" wrapText="1"/>
    </xf>
    <xf numFmtId="2" fontId="20" fillId="0" borderId="41" xfId="0" applyNumberFormat="1" applyFont="1" applyBorder="1" applyAlignment="1">
      <alignment horizontal="center" vertical="top" wrapText="1"/>
    </xf>
    <xf numFmtId="165" fontId="28" fillId="0" borderId="16" xfId="0" applyNumberFormat="1" applyFont="1" applyBorder="1" applyAlignment="1">
      <alignment horizontal="center" vertical="top" wrapText="1"/>
    </xf>
    <xf numFmtId="165" fontId="28" fillId="0" borderId="45" xfId="0" applyNumberFormat="1" applyFont="1" applyBorder="1" applyAlignment="1">
      <alignment horizontal="center" vertical="top" wrapText="1"/>
    </xf>
    <xf numFmtId="165" fontId="28" fillId="0" borderId="16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12" fillId="0" borderId="0" xfId="59" applyFont="1" applyFill="1" applyBorder="1">
      <alignment/>
      <protection/>
    </xf>
    <xf numFmtId="165" fontId="20" fillId="0" borderId="11" xfId="0" applyNumberFormat="1" applyFont="1" applyBorder="1" applyAlignment="1">
      <alignment horizontal="center" vertical="top" wrapText="1"/>
    </xf>
    <xf numFmtId="165" fontId="28" fillId="0" borderId="15" xfId="0" applyNumberFormat="1" applyFont="1" applyBorder="1" applyAlignment="1">
      <alignment horizontal="center" vertical="top" wrapText="1"/>
    </xf>
    <xf numFmtId="165" fontId="28" fillId="0" borderId="15" xfId="0" applyNumberFormat="1" applyFont="1" applyBorder="1" applyAlignment="1">
      <alignment horizontal="center"/>
    </xf>
    <xf numFmtId="0" fontId="6" fillId="32" borderId="23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165" fontId="28" fillId="0" borderId="11" xfId="0" applyNumberFormat="1" applyFont="1" applyBorder="1" applyAlignment="1">
      <alignment horizontal="center"/>
    </xf>
    <xf numFmtId="165" fontId="28" fillId="0" borderId="10" xfId="0" applyNumberFormat="1" applyFont="1" applyBorder="1" applyAlignment="1">
      <alignment horizontal="center"/>
    </xf>
    <xf numFmtId="165" fontId="28" fillId="0" borderId="41" xfId="0" applyNumberFormat="1" applyFont="1" applyBorder="1" applyAlignment="1">
      <alignment horizontal="center"/>
    </xf>
    <xf numFmtId="165" fontId="28" fillId="0" borderId="45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8" fillId="0" borderId="16" xfId="57" applyNumberFormat="1" applyFont="1" applyFill="1" applyBorder="1" applyAlignment="1">
      <alignment horizontal="center"/>
      <protection/>
    </xf>
    <xf numFmtId="166" fontId="6" fillId="0" borderId="16" xfId="62" applyNumberFormat="1" applyFont="1" applyBorder="1" applyAlignment="1">
      <alignment horizontal="center"/>
      <protection/>
    </xf>
    <xf numFmtId="1" fontId="8" fillId="0" borderId="16" xfId="57" applyNumberFormat="1" applyFont="1" applyBorder="1" applyAlignment="1">
      <alignment horizontal="center"/>
      <protection/>
    </xf>
    <xf numFmtId="1" fontId="8" fillId="34" borderId="15" xfId="0" applyNumberFormat="1" applyFont="1" applyFill="1" applyBorder="1" applyAlignment="1" quotePrefix="1">
      <alignment horizontal="center"/>
    </xf>
    <xf numFmtId="2" fontId="8" fillId="34" borderId="11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17" fillId="32" borderId="10" xfId="0" applyFont="1" applyFill="1" applyBorder="1" applyAlignment="1">
      <alignment/>
    </xf>
    <xf numFmtId="166" fontId="21" fillId="0" borderId="11" xfId="0" applyNumberFormat="1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8" fillId="0" borderId="13" xfId="60" applyNumberFormat="1" applyFont="1" applyFill="1" applyBorder="1">
      <alignment/>
      <protection/>
    </xf>
    <xf numFmtId="1" fontId="10" fillId="0" borderId="21" xfId="0" applyNumberFormat="1" applyFont="1" applyBorder="1" applyAlignment="1">
      <alignment/>
    </xf>
    <xf numFmtId="0" fontId="6" fillId="0" borderId="15" xfId="60" applyFont="1" applyBorder="1">
      <alignment/>
      <protection/>
    </xf>
    <xf numFmtId="0" fontId="4" fillId="0" borderId="0" xfId="60" applyFont="1" applyFill="1" applyBorder="1" applyAlignment="1">
      <alignment horizontal="left"/>
      <protection/>
    </xf>
    <xf numFmtId="0" fontId="29" fillId="0" borderId="0" xfId="0" applyFont="1" applyAlignment="1">
      <alignment/>
    </xf>
    <xf numFmtId="0" fontId="8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6" fillId="0" borderId="0" xfId="0" applyNumberFormat="1" applyFont="1" applyFill="1" applyBorder="1" applyAlignment="1" quotePrefix="1">
      <alignment horizontal="center"/>
    </xf>
    <xf numFmtId="177" fontId="8" fillId="0" borderId="0" xfId="42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32" borderId="17" xfId="0" applyFill="1" applyBorder="1" applyAlignment="1">
      <alignment/>
    </xf>
    <xf numFmtId="0" fontId="6" fillId="32" borderId="13" xfId="60" applyFont="1" applyFill="1" applyBorder="1" applyAlignment="1">
      <alignment horizontal="center"/>
      <protection/>
    </xf>
    <xf numFmtId="0" fontId="6" fillId="32" borderId="17" xfId="60" applyFont="1" applyFill="1" applyBorder="1">
      <alignment/>
      <protection/>
    </xf>
    <xf numFmtId="0" fontId="0" fillId="32" borderId="22" xfId="0" applyFill="1" applyBorder="1" applyAlignment="1">
      <alignment/>
    </xf>
    <xf numFmtId="0" fontId="6" fillId="32" borderId="22" xfId="60" applyFont="1" applyFill="1" applyBorder="1" applyAlignment="1">
      <alignment horizontal="center"/>
      <protection/>
    </xf>
    <xf numFmtId="0" fontId="0" fillId="32" borderId="13" xfId="0" applyFill="1" applyBorder="1" applyAlignment="1">
      <alignment/>
    </xf>
    <xf numFmtId="0" fontId="8" fillId="32" borderId="20" xfId="60" applyFont="1" applyFill="1" applyBorder="1">
      <alignment/>
      <protection/>
    </xf>
    <xf numFmtId="0" fontId="6" fillId="32" borderId="12" xfId="60" applyFont="1" applyFill="1" applyBorder="1">
      <alignment/>
      <protection/>
    </xf>
    <xf numFmtId="0" fontId="0" fillId="32" borderId="12" xfId="0" applyFill="1" applyBorder="1" applyAlignment="1">
      <alignment/>
    </xf>
    <xf numFmtId="0" fontId="6" fillId="32" borderId="23" xfId="60" applyFont="1" applyFill="1" applyBorder="1" applyAlignment="1">
      <alignment horizontal="center"/>
      <protection/>
    </xf>
    <xf numFmtId="1" fontId="10" fillId="0" borderId="10" xfId="0" applyNumberFormat="1" applyFont="1" applyBorder="1" applyAlignment="1">
      <alignment/>
    </xf>
    <xf numFmtId="0" fontId="0" fillId="32" borderId="14" xfId="0" applyFill="1" applyBorder="1" applyAlignment="1">
      <alignment/>
    </xf>
    <xf numFmtId="0" fontId="6" fillId="32" borderId="21" xfId="60" applyFont="1" applyFill="1" applyBorder="1" applyAlignment="1">
      <alignment horizontal="center"/>
      <protection/>
    </xf>
    <xf numFmtId="0" fontId="7" fillId="32" borderId="10" xfId="0" applyFont="1" applyFill="1" applyBorder="1" applyAlignment="1">
      <alignment/>
    </xf>
    <xf numFmtId="175" fontId="0" fillId="0" borderId="0" xfId="44" applyNumberFormat="1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2" fontId="13" fillId="32" borderId="19" xfId="0" applyNumberFormat="1" applyFont="1" applyFill="1" applyBorder="1" applyAlignment="1">
      <alignment horizontal="center"/>
    </xf>
    <xf numFmtId="2" fontId="12" fillId="32" borderId="18" xfId="0" applyNumberFormat="1" applyFont="1" applyFill="1" applyBorder="1" applyAlignment="1">
      <alignment horizontal="center"/>
    </xf>
    <xf numFmtId="2" fontId="13" fillId="32" borderId="18" xfId="0" applyNumberFormat="1" applyFont="1" applyFill="1" applyBorder="1" applyAlignment="1">
      <alignment horizontal="center"/>
    </xf>
    <xf numFmtId="1" fontId="8" fillId="36" borderId="19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center"/>
    </xf>
    <xf numFmtId="2" fontId="8" fillId="0" borderId="0" xfId="42" applyNumberFormat="1" applyFont="1" applyAlignment="1">
      <alignment/>
    </xf>
    <xf numFmtId="1" fontId="12" fillId="32" borderId="15" xfId="61" applyNumberFormat="1" applyFont="1" applyFill="1" applyBorder="1">
      <alignment/>
      <protection/>
    </xf>
    <xf numFmtId="167" fontId="12" fillId="0" borderId="18" xfId="0" applyNumberFormat="1" applyFont="1" applyBorder="1" applyAlignment="1">
      <alignment/>
    </xf>
    <xf numFmtId="0" fontId="6" fillId="0" borderId="18" xfId="61" applyFont="1" applyBorder="1">
      <alignment/>
      <protection/>
    </xf>
    <xf numFmtId="0" fontId="10" fillId="32" borderId="21" xfId="60" applyFont="1" applyFill="1" applyBorder="1" applyAlignment="1">
      <alignment horizontal="center"/>
      <protection/>
    </xf>
    <xf numFmtId="1" fontId="6" fillId="32" borderId="13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40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12" fillId="0" borderId="0" xfId="0" applyFont="1" applyFill="1" applyAlignment="1">
      <alignment/>
    </xf>
    <xf numFmtId="0" fontId="6" fillId="0" borderId="46" xfId="0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6" fillId="0" borderId="17" xfId="60" applyNumberFormat="1" applyFont="1" applyBorder="1">
      <alignment/>
      <protection/>
    </xf>
    <xf numFmtId="165" fontId="8" fillId="0" borderId="17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6" fontId="11" fillId="0" borderId="16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 quotePrefix="1">
      <alignment horizontal="center"/>
    </xf>
    <xf numFmtId="2" fontId="8" fillId="34" borderId="13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6" fontId="6" fillId="32" borderId="10" xfId="0" applyNumberFormat="1" applyFont="1" applyFill="1" applyBorder="1" applyAlignment="1" quotePrefix="1">
      <alignment horizontal="center"/>
    </xf>
    <xf numFmtId="6" fontId="6" fillId="32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49" fontId="6" fillId="32" borderId="16" xfId="0" applyNumberFormat="1" applyFont="1" applyFill="1" applyBorder="1" applyAlignment="1">
      <alignment/>
    </xf>
    <xf numFmtId="175" fontId="0" fillId="0" borderId="16" xfId="44" applyNumberFormat="1" applyFont="1" applyFill="1" applyBorder="1" applyAlignment="1">
      <alignment/>
    </xf>
    <xf numFmtId="0" fontId="8" fillId="32" borderId="11" xfId="0" applyFont="1" applyFill="1" applyBorder="1" applyAlignment="1">
      <alignment/>
    </xf>
    <xf numFmtId="165" fontId="6" fillId="0" borderId="12" xfId="0" applyNumberFormat="1" applyFont="1" applyBorder="1" applyAlignment="1">
      <alignment horizontal="center"/>
    </xf>
    <xf numFmtId="0" fontId="9" fillId="32" borderId="12" xfId="0" applyFont="1" applyFill="1" applyBorder="1" applyAlignment="1">
      <alignment/>
    </xf>
    <xf numFmtId="165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/>
    </xf>
    <xf numFmtId="1" fontId="8" fillId="34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1" fontId="11" fillId="34" borderId="18" xfId="0" applyNumberFormat="1" applyFont="1" applyFill="1" applyBorder="1" applyAlignment="1">
      <alignment horizontal="center"/>
    </xf>
    <xf numFmtId="1" fontId="8" fillId="32" borderId="18" xfId="0" applyNumberFormat="1" applyFont="1" applyFill="1" applyBorder="1" applyAlignment="1">
      <alignment horizontal="center"/>
    </xf>
    <xf numFmtId="166" fontId="11" fillId="34" borderId="20" xfId="0" applyNumberFormat="1" applyFont="1" applyFill="1" applyBorder="1" applyAlignment="1">
      <alignment horizontal="center"/>
    </xf>
    <xf numFmtId="1" fontId="6" fillId="0" borderId="0" xfId="42" applyNumberFormat="1" applyFont="1" applyBorder="1" applyAlignment="1">
      <alignment/>
    </xf>
    <xf numFmtId="2" fontId="6" fillId="0" borderId="0" xfId="44" applyNumberFormat="1" applyFont="1" applyBorder="1" applyAlignment="1">
      <alignment horizontal="center"/>
    </xf>
    <xf numFmtId="1" fontId="8" fillId="0" borderId="0" xfId="42" applyNumberFormat="1" applyFont="1" applyAlignment="1">
      <alignment/>
    </xf>
    <xf numFmtId="178" fontId="8" fillId="0" borderId="0" xfId="42" applyNumberFormat="1" applyFont="1" applyAlignment="1">
      <alignment/>
    </xf>
    <xf numFmtId="177" fontId="40" fillId="0" borderId="10" xfId="42" applyNumberFormat="1" applyFont="1" applyBorder="1" applyAlignment="1">
      <alignment/>
    </xf>
    <xf numFmtId="44" fontId="22" fillId="0" borderId="10" xfId="44" applyFont="1" applyBorder="1" applyAlignment="1">
      <alignment/>
    </xf>
    <xf numFmtId="0" fontId="0" fillId="0" borderId="10" xfId="0" applyFill="1" applyBorder="1" applyAlignment="1">
      <alignment/>
    </xf>
    <xf numFmtId="1" fontId="8" fillId="0" borderId="0" xfId="42" applyNumberFormat="1" applyFont="1" applyBorder="1" applyAlignment="1">
      <alignment/>
    </xf>
    <xf numFmtId="1" fontId="6" fillId="32" borderId="10" xfId="0" applyNumberFormat="1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6" fillId="0" borderId="18" xfId="0" applyFont="1" applyBorder="1" applyAlignment="1">
      <alignment/>
    </xf>
    <xf numFmtId="177" fontId="8" fillId="0" borderId="18" xfId="42" applyNumberFormat="1" applyFont="1" applyBorder="1" applyAlignment="1">
      <alignment/>
    </xf>
    <xf numFmtId="175" fontId="6" fillId="0" borderId="18" xfId="44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1" fontId="8" fillId="0" borderId="18" xfId="42" applyNumberFormat="1" applyFont="1" applyBorder="1" applyAlignment="1">
      <alignment/>
    </xf>
    <xf numFmtId="2" fontId="6" fillId="0" borderId="18" xfId="44" applyNumberFormat="1" applyFont="1" applyBorder="1" applyAlignment="1">
      <alignment horizontal="center"/>
    </xf>
    <xf numFmtId="166" fontId="8" fillId="0" borderId="18" xfId="0" applyNumberFormat="1" applyFont="1" applyBorder="1" applyAlignment="1">
      <alignment/>
    </xf>
    <xf numFmtId="165" fontId="0" fillId="0" borderId="0" xfId="0" applyNumberFormat="1" applyFill="1" applyAlignment="1">
      <alignment/>
    </xf>
    <xf numFmtId="1" fontId="8" fillId="32" borderId="0" xfId="42" applyNumberFormat="1" applyFont="1" applyFill="1" applyBorder="1" applyAlignment="1">
      <alignment/>
    </xf>
    <xf numFmtId="2" fontId="6" fillId="32" borderId="0" xfId="44" applyNumberFormat="1" applyFont="1" applyFill="1" applyBorder="1" applyAlignment="1">
      <alignment horizontal="center"/>
    </xf>
    <xf numFmtId="2" fontId="6" fillId="32" borderId="0" xfId="0" applyNumberFormat="1" applyFont="1" applyFill="1" applyBorder="1" applyAlignment="1">
      <alignment/>
    </xf>
    <xf numFmtId="166" fontId="8" fillId="32" borderId="0" xfId="0" applyNumberFormat="1" applyFont="1" applyFill="1" applyBorder="1" applyAlignment="1">
      <alignment/>
    </xf>
    <xf numFmtId="1" fontId="6" fillId="32" borderId="0" xfId="42" applyNumberFormat="1" applyFont="1" applyFill="1" applyBorder="1" applyAlignment="1">
      <alignment/>
    </xf>
    <xf numFmtId="166" fontId="6" fillId="32" borderId="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7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166" fontId="2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" fontId="6" fillId="32" borderId="0" xfId="61" applyNumberFormat="1" applyFont="1" applyFill="1" applyBorder="1">
      <alignment/>
      <protection/>
    </xf>
    <xf numFmtId="0" fontId="39" fillId="0" borderId="0" xfId="0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21" fillId="0" borderId="0" xfId="0" applyFont="1" applyAlignment="1">
      <alignment horizontal="left" vertical="top" wrapText="1"/>
    </xf>
    <xf numFmtId="0" fontId="3" fillId="0" borderId="0" xfId="62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rmal_Sheet4" xfId="60"/>
    <cellStyle name="Normal_Sheet6" xfId="61"/>
    <cellStyle name="Normal_tobaccoincig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TobSales!#REF!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TobSales!#REF!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TobSales!#REF!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855898"/>
        <c:axId val="19832171"/>
      </c:lineChart>
      <c:lineChart>
        <c:grouping val="standard"/>
        <c:varyColors val="0"/>
        <c:ser>
          <c:idx val="0"/>
          <c:order val="1"/>
          <c:tx>
            <c:strRef>
              <c:f>TobSales!#REF!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TobSales!#REF!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TobSales!#REF!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32171"/>
        <c:crosses val="autoZero"/>
        <c:auto val="0"/>
        <c:lblOffset val="100"/>
        <c:tickLblSkip val="2"/>
        <c:noMultiLvlLbl val="0"/>
      </c:catAx>
      <c:valAx>
        <c:axId val="198321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Cigarette price (2010 $)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55898"/>
        <c:crossesAt val="1"/>
        <c:crossBetween val="between"/>
        <c:dispUnits/>
        <c:majorUnit val="0.2"/>
      </c:valAx>
      <c:catAx>
        <c:axId val="44271812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1989"/>
        <c:crosses val="autoZero"/>
        <c:auto val="0"/>
        <c:lblOffset val="100"/>
        <c:tickLblSkip val="1"/>
        <c:noMultiLvlLbl val="0"/>
      </c:catAx>
      <c:valAx>
        <c:axId val="62901989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Cigarettes per adult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 val="max"/>
        <c:crossBetween val="between"/>
        <c:dispUnits/>
        <c:majorUnit val="4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475"/>
          <c:y val="0.02975"/>
          <c:w val="0.868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TobSales!$W$491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TobSales!$V$492:$V$508</c:f>
              <c:numCache/>
            </c:numRef>
          </c:cat>
          <c:val>
            <c:numRef>
              <c:f>TobSales!$W$492:$W$508</c:f>
              <c:numCache/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millions, in 2011 dollars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25"/>
          <c:y val="0.373"/>
          <c:w val="0.908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502</xdr:row>
      <xdr:rowOff>9525</xdr:rowOff>
    </xdr:from>
    <xdr:to>
      <xdr:col>16</xdr:col>
      <xdr:colOff>0</xdr:colOff>
      <xdr:row>519</xdr:row>
      <xdr:rowOff>123825</xdr:rowOff>
    </xdr:to>
    <xdr:graphicFrame>
      <xdr:nvGraphicFramePr>
        <xdr:cNvPr id="1" name="Chart 2"/>
        <xdr:cNvGraphicFramePr/>
      </xdr:nvGraphicFramePr>
      <xdr:xfrm>
        <a:off x="14554200" y="85905975"/>
        <a:ext cx="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247650</xdr:colOff>
      <xdr:row>489</xdr:row>
      <xdr:rowOff>142875</xdr:rowOff>
    </xdr:from>
    <xdr:to>
      <xdr:col>28</xdr:col>
      <xdr:colOff>104775</xdr:colOff>
      <xdr:row>507</xdr:row>
      <xdr:rowOff>123825</xdr:rowOff>
    </xdr:to>
    <xdr:graphicFrame>
      <xdr:nvGraphicFramePr>
        <xdr:cNvPr id="2" name="Chart 4"/>
        <xdr:cNvGraphicFramePr/>
      </xdr:nvGraphicFramePr>
      <xdr:xfrm>
        <a:off x="19069050" y="83934300"/>
        <a:ext cx="29051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vt.nz/" TargetMode="External" /><Relationship Id="rId2" Type="http://schemas.openxmlformats.org/officeDocument/2006/relationships/hyperlink" Target="http://www.statistics.govt.nz/" TargetMode="External" /><Relationship Id="rId3" Type="http://schemas.openxmlformats.org/officeDocument/2006/relationships/hyperlink" Target="http://www.statistics.govt.nz/" TargetMode="External" /><Relationship Id="rId4" Type="http://schemas.openxmlformats.org/officeDocument/2006/relationships/hyperlink" Target="http://www.customs.govt.nz/" TargetMode="External" /><Relationship Id="rId5" Type="http://schemas.openxmlformats.org/officeDocument/2006/relationships/hyperlink" Target="http://www.statistics.govt.nz/" TargetMode="External" /><Relationship Id="rId6" Type="http://schemas.openxmlformats.org/officeDocument/2006/relationships/hyperlink" Target="http://www.customs.govt.nz/" TargetMode="External" /><Relationship Id="rId7" Type="http://schemas.openxmlformats.org/officeDocument/2006/relationships/hyperlink" Target="http://www.statistics.govt.nz/" TargetMode="External" /><Relationship Id="rId8" Type="http://schemas.openxmlformats.org/officeDocument/2006/relationships/hyperlink" Target="http://www.statistics.govt.nz/" TargetMode="External" /><Relationship Id="rId9" Type="http://schemas.openxmlformats.org/officeDocument/2006/relationships/hyperlink" Target="http://www.customs.govt.nz/" TargetMode="External" /><Relationship Id="rId10" Type="http://schemas.openxmlformats.org/officeDocument/2006/relationships/hyperlink" Target="http://www.statistics.govt.nz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0"/>
  <sheetViews>
    <sheetView zoomScale="85" zoomScaleNormal="85" zoomScaleSheetLayoutView="100" workbookViewId="0" topLeftCell="A490">
      <selection activeCell="M13" sqref="M13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2.00390625" style="0" customWidth="1"/>
    <col min="4" max="10" width="16.421875" style="0" customWidth="1"/>
  </cols>
  <sheetData>
    <row r="1" spans="1:10" ht="20.25">
      <c r="A1" s="537" t="s">
        <v>574</v>
      </c>
      <c r="B1" s="537"/>
      <c r="C1" s="537"/>
      <c r="D1" s="537">
        <v>2012</v>
      </c>
      <c r="E1" s="762" t="s">
        <v>575</v>
      </c>
      <c r="F1" s="762"/>
      <c r="G1" s="3"/>
      <c r="H1" s="1"/>
      <c r="I1" s="3"/>
      <c r="J1" s="3"/>
    </row>
    <row r="2" spans="1:5" ht="12.75">
      <c r="A2" s="314" t="s">
        <v>899</v>
      </c>
      <c r="B2" s="725"/>
      <c r="C2" s="725"/>
      <c r="D2" s="725"/>
      <c r="E2" s="725"/>
    </row>
    <row r="3" spans="1:10" ht="15.75">
      <c r="A3" s="70" t="s">
        <v>799</v>
      </c>
      <c r="D3" s="70"/>
      <c r="E3" s="70"/>
      <c r="F3" s="70"/>
      <c r="G3" s="70"/>
      <c r="H3" s="70"/>
      <c r="I3" s="207"/>
      <c r="J3" s="207"/>
    </row>
    <row r="4" spans="1:10" ht="18">
      <c r="A4" s="536"/>
      <c r="C4" s="70"/>
      <c r="D4" s="70"/>
      <c r="E4" s="70"/>
      <c r="F4" s="70"/>
      <c r="G4" s="70"/>
      <c r="H4" s="70"/>
      <c r="I4" s="207"/>
      <c r="J4" s="207"/>
    </row>
    <row r="5" spans="1:18" ht="12.75">
      <c r="A5" s="535" t="s">
        <v>372</v>
      </c>
      <c r="B5" s="314"/>
      <c r="C5" s="314"/>
      <c r="D5" s="314"/>
      <c r="H5" s="48"/>
      <c r="I5" s="48"/>
      <c r="K5" s="95"/>
      <c r="L5" s="95"/>
      <c r="M5" s="95"/>
      <c r="N5" s="95"/>
      <c r="O5" s="95"/>
      <c r="P5" s="95"/>
      <c r="Q5" s="95"/>
      <c r="R5" s="95"/>
    </row>
    <row r="6" spans="2:18" ht="12.75">
      <c r="B6" s="62"/>
      <c r="C6" s="62"/>
      <c r="D6" s="534" t="s">
        <v>288</v>
      </c>
      <c r="E6" s="533" t="s">
        <v>359</v>
      </c>
      <c r="F6" s="533" t="s">
        <v>365</v>
      </c>
      <c r="G6" s="533" t="s">
        <v>285</v>
      </c>
      <c r="H6" s="533" t="s">
        <v>296</v>
      </c>
      <c r="I6" s="657" t="s">
        <v>424</v>
      </c>
      <c r="J6" s="655" t="s">
        <v>400</v>
      </c>
      <c r="K6" s="869"/>
      <c r="L6" s="95"/>
      <c r="M6" s="95"/>
      <c r="N6" s="95"/>
      <c r="O6" s="95"/>
      <c r="P6" s="95"/>
      <c r="Q6" s="95"/>
      <c r="R6" s="95"/>
    </row>
    <row r="7" spans="2:18" ht="12.75">
      <c r="B7" s="534" t="s">
        <v>371</v>
      </c>
      <c r="C7" s="51"/>
      <c r="D7" s="51">
        <v>2011</v>
      </c>
      <c r="E7" s="51">
        <v>2011</v>
      </c>
      <c r="F7" s="51">
        <v>2011</v>
      </c>
      <c r="G7" s="51">
        <v>2011</v>
      </c>
      <c r="H7" s="51">
        <v>2011</v>
      </c>
      <c r="I7" s="657" t="s">
        <v>723</v>
      </c>
      <c r="J7" s="497" t="s">
        <v>723</v>
      </c>
      <c r="K7" s="175"/>
      <c r="L7" s="95"/>
      <c r="M7" s="95"/>
      <c r="N7" s="95"/>
      <c r="O7" s="95"/>
      <c r="P7" s="95"/>
      <c r="Q7" s="95"/>
      <c r="R7" s="95"/>
    </row>
    <row r="8" spans="2:18" ht="12.75">
      <c r="B8" s="655"/>
      <c r="C8" s="497"/>
      <c r="D8" s="479" t="s">
        <v>479</v>
      </c>
      <c r="E8" s="479" t="s">
        <v>479</v>
      </c>
      <c r="F8" s="479" t="s">
        <v>479</v>
      </c>
      <c r="G8" s="479" t="s">
        <v>479</v>
      </c>
      <c r="H8" s="479" t="s">
        <v>479</v>
      </c>
      <c r="I8" s="656" t="s">
        <v>480</v>
      </c>
      <c r="J8" s="479" t="s">
        <v>479</v>
      </c>
      <c r="K8" s="175"/>
      <c r="L8" s="95"/>
      <c r="M8" s="95"/>
      <c r="N8" s="95"/>
      <c r="O8" s="95"/>
      <c r="P8" s="95"/>
      <c r="Q8" s="95"/>
      <c r="R8" s="95"/>
    </row>
    <row r="9" spans="2:18" ht="12.75">
      <c r="B9" s="26" t="s">
        <v>370</v>
      </c>
      <c r="C9" s="4"/>
      <c r="D9" s="31">
        <v>1042002</v>
      </c>
      <c r="E9" s="31">
        <v>461172</v>
      </c>
      <c r="F9" s="26">
        <v>0</v>
      </c>
      <c r="G9" s="600">
        <v>3</v>
      </c>
      <c r="H9" s="605">
        <f>SUM(D9:G9)</f>
        <v>1503177</v>
      </c>
      <c r="I9" s="629">
        <v>1445940</v>
      </c>
      <c r="J9" s="214">
        <v>430178</v>
      </c>
      <c r="K9" s="214"/>
      <c r="L9" s="95"/>
      <c r="M9" s="95"/>
      <c r="N9" s="95"/>
      <c r="O9" s="95"/>
      <c r="P9" s="95"/>
      <c r="Q9" s="95"/>
      <c r="R9" s="95"/>
    </row>
    <row r="10" spans="2:18" ht="12.75">
      <c r="B10" s="4" t="s">
        <v>418</v>
      </c>
      <c r="C10" s="4"/>
      <c r="D10" s="605">
        <v>294119</v>
      </c>
      <c r="E10" s="605">
        <v>148359</v>
      </c>
      <c r="F10" s="605">
        <v>181</v>
      </c>
      <c r="G10" s="605">
        <v>77</v>
      </c>
      <c r="H10" s="605">
        <f>SUM(D10:G10)</f>
        <v>442736</v>
      </c>
      <c r="I10" s="629">
        <v>409903</v>
      </c>
      <c r="J10" s="214">
        <v>149072</v>
      </c>
      <c r="K10" s="214"/>
      <c r="L10" s="95"/>
      <c r="M10" s="95"/>
      <c r="N10" s="95"/>
      <c r="O10" s="95"/>
      <c r="P10" s="95"/>
      <c r="Q10" s="95"/>
      <c r="R10" s="95"/>
    </row>
    <row r="11" spans="2:18" ht="12.75">
      <c r="B11" s="4" t="s">
        <v>419</v>
      </c>
      <c r="C11" s="4"/>
      <c r="D11" s="605">
        <v>92509</v>
      </c>
      <c r="E11" s="605">
        <v>316</v>
      </c>
      <c r="F11" s="61">
        <v>0</v>
      </c>
      <c r="G11" s="61">
        <v>1890</v>
      </c>
      <c r="H11" s="605">
        <f>SUM(D11:G11)</f>
        <v>94715</v>
      </c>
      <c r="I11" s="629">
        <v>129447</v>
      </c>
      <c r="J11" s="214">
        <v>316</v>
      </c>
      <c r="K11" s="214"/>
      <c r="L11" s="95"/>
      <c r="M11" s="95"/>
      <c r="N11" s="95"/>
      <c r="O11" s="95"/>
      <c r="P11" s="95"/>
      <c r="Q11" s="95"/>
      <c r="R11" s="95"/>
    </row>
    <row r="12" spans="2:18" ht="12.75">
      <c r="B12" s="712" t="s">
        <v>580</v>
      </c>
      <c r="C12" s="48"/>
      <c r="D12" s="766">
        <f>SUM(D13:D23)</f>
        <v>22824.739999999998</v>
      </c>
      <c r="E12" s="766">
        <f>SUM(E13:E23)</f>
        <v>7260.150000000001</v>
      </c>
      <c r="F12" s="766">
        <v>2151</v>
      </c>
      <c r="G12" s="766">
        <f>SUM(G13:G23)</f>
        <v>13698.5</v>
      </c>
      <c r="H12" s="766">
        <f>SUM(H13:H23)</f>
        <v>45925.39</v>
      </c>
      <c r="I12" s="766">
        <f>SUM(I13:I22)</f>
        <v>31364</v>
      </c>
      <c r="J12" s="766">
        <f>SUM(J13:J22)</f>
        <v>7320.64</v>
      </c>
      <c r="K12" s="95"/>
      <c r="L12" s="95"/>
      <c r="M12" s="95"/>
      <c r="N12" s="95"/>
      <c r="O12" s="95"/>
      <c r="P12" s="95"/>
      <c r="Q12" s="95"/>
      <c r="R12" s="95"/>
    </row>
    <row r="13" spans="2:18" ht="12.75">
      <c r="B13" s="4" t="s">
        <v>420</v>
      </c>
      <c r="D13" s="605">
        <f>I13*0.7</f>
        <v>91</v>
      </c>
      <c r="E13" s="605">
        <v>83</v>
      </c>
      <c r="F13" s="61">
        <v>0</v>
      </c>
      <c r="G13" s="605">
        <v>10.5</v>
      </c>
      <c r="H13" s="605">
        <f aca="true" t="shared" si="0" ref="H13:H22">SUM(D13:G13)</f>
        <v>184.5</v>
      </c>
      <c r="I13" s="629">
        <v>130</v>
      </c>
      <c r="J13" s="214">
        <v>83</v>
      </c>
      <c r="K13" s="95"/>
      <c r="L13" s="95"/>
      <c r="M13" s="95"/>
      <c r="N13" s="95"/>
      <c r="O13" s="95"/>
      <c r="P13" s="95"/>
      <c r="Q13" s="95"/>
      <c r="R13" s="95"/>
    </row>
    <row r="14" spans="2:18" ht="12.75">
      <c r="B14" s="4" t="s">
        <v>421</v>
      </c>
      <c r="C14" s="4"/>
      <c r="D14" s="314">
        <f>I14*0.7</f>
        <v>2107</v>
      </c>
      <c r="E14" s="61">
        <v>0</v>
      </c>
      <c r="F14" s="61">
        <v>0</v>
      </c>
      <c r="G14" s="61">
        <v>0</v>
      </c>
      <c r="H14" s="605">
        <f t="shared" si="0"/>
        <v>2107</v>
      </c>
      <c r="I14" s="314">
        <v>3010</v>
      </c>
      <c r="K14" s="95"/>
      <c r="L14" s="95"/>
      <c r="M14" s="95"/>
      <c r="N14" s="95"/>
      <c r="O14" s="95"/>
      <c r="P14" s="95"/>
      <c r="Q14" s="95"/>
      <c r="R14" s="95"/>
    </row>
    <row r="15" spans="2:18" ht="12.75">
      <c r="B15" s="4" t="s">
        <v>422</v>
      </c>
      <c r="C15" s="4"/>
      <c r="D15" s="605">
        <v>1807</v>
      </c>
      <c r="E15" s="605">
        <v>204</v>
      </c>
      <c r="F15" s="61">
        <v>0</v>
      </c>
      <c r="G15" s="61">
        <v>0</v>
      </c>
      <c r="H15" s="605">
        <f t="shared" si="0"/>
        <v>2011</v>
      </c>
      <c r="I15" s="629">
        <v>2550</v>
      </c>
      <c r="K15" s="95"/>
      <c r="L15" s="95"/>
      <c r="M15" s="95"/>
      <c r="N15" s="95"/>
      <c r="O15" s="95"/>
      <c r="P15" s="95"/>
      <c r="Q15" s="95"/>
      <c r="R15" s="95"/>
    </row>
    <row r="16" spans="2:18" ht="12.75">
      <c r="B16" s="4" t="s">
        <v>717</v>
      </c>
      <c r="D16" s="605"/>
      <c r="E16" s="31">
        <v>1092</v>
      </c>
      <c r="F16" s="31"/>
      <c r="G16" s="31"/>
      <c r="H16" s="605">
        <v>1092</v>
      </c>
      <c r="I16" s="469"/>
      <c r="J16">
        <v>1092</v>
      </c>
      <c r="K16" s="95"/>
      <c r="L16" s="95"/>
      <c r="M16" s="95"/>
      <c r="N16" s="95"/>
      <c r="O16" s="95"/>
      <c r="P16" s="95"/>
      <c r="Q16" s="95"/>
      <c r="R16" s="95"/>
    </row>
    <row r="17" spans="2:18" ht="12.75">
      <c r="B17" s="4" t="s">
        <v>478</v>
      </c>
      <c r="C17" s="4"/>
      <c r="D17" s="605">
        <v>5995.85</v>
      </c>
      <c r="E17" s="605">
        <v>3027.51</v>
      </c>
      <c r="F17" s="61">
        <v>0</v>
      </c>
      <c r="G17" s="605">
        <v>335</v>
      </c>
      <c r="H17" s="605">
        <f t="shared" si="0"/>
        <v>9358.36</v>
      </c>
      <c r="I17" s="602">
        <v>9108</v>
      </c>
      <c r="J17" s="61">
        <v>3345</v>
      </c>
      <c r="K17" s="95"/>
      <c r="L17" s="95"/>
      <c r="M17" s="95"/>
      <c r="N17" s="95"/>
      <c r="O17" s="95"/>
      <c r="P17" s="95"/>
      <c r="Q17" s="95"/>
      <c r="R17" s="95"/>
    </row>
    <row r="18" spans="2:18" ht="12.75">
      <c r="B18" s="4" t="s">
        <v>423</v>
      </c>
      <c r="C18" s="4"/>
      <c r="D18" s="605">
        <v>4200</v>
      </c>
      <c r="E18" s="605">
        <v>289</v>
      </c>
      <c r="F18" s="605">
        <v>13</v>
      </c>
      <c r="G18" s="605">
        <v>126</v>
      </c>
      <c r="H18" s="605">
        <f t="shared" si="0"/>
        <v>4628</v>
      </c>
      <c r="I18" s="629">
        <f>210*20</f>
        <v>4200</v>
      </c>
      <c r="J18" s="602">
        <v>236</v>
      </c>
      <c r="K18" s="95"/>
      <c r="L18" s="95"/>
      <c r="M18" s="95"/>
      <c r="N18" s="95"/>
      <c r="O18" s="95"/>
      <c r="P18" s="95"/>
      <c r="Q18" s="95"/>
      <c r="R18" s="95"/>
    </row>
    <row r="19" spans="2:18" ht="12.75">
      <c r="B19" s="4" t="s">
        <v>369</v>
      </c>
      <c r="C19" s="4"/>
      <c r="D19" s="605">
        <f>I19*0.7</f>
        <v>8477</v>
      </c>
      <c r="E19" s="605">
        <v>0</v>
      </c>
      <c r="F19" s="605">
        <v>0</v>
      </c>
      <c r="G19" s="605">
        <v>0</v>
      </c>
      <c r="H19" s="605">
        <f t="shared" si="0"/>
        <v>8477</v>
      </c>
      <c r="I19" s="629">
        <v>12110</v>
      </c>
      <c r="K19" s="95"/>
      <c r="L19" s="95"/>
      <c r="M19" s="95"/>
      <c r="N19" s="95"/>
      <c r="O19" s="95"/>
      <c r="P19" s="95"/>
      <c r="Q19" s="95"/>
      <c r="R19" s="95"/>
    </row>
    <row r="20" spans="2:18" ht="12.75">
      <c r="B20" s="4" t="s">
        <v>810</v>
      </c>
      <c r="C20" s="4"/>
      <c r="D20" s="61">
        <v>0</v>
      </c>
      <c r="E20" s="61">
        <v>0</v>
      </c>
      <c r="F20" s="61">
        <v>0</v>
      </c>
      <c r="G20" s="605">
        <v>393</v>
      </c>
      <c r="H20" s="605">
        <f t="shared" si="0"/>
        <v>393</v>
      </c>
      <c r="I20" s="469">
        <v>0</v>
      </c>
      <c r="K20" s="95"/>
      <c r="L20" s="95"/>
      <c r="M20" s="95"/>
      <c r="N20" s="95"/>
      <c r="O20" s="95"/>
      <c r="P20" s="95"/>
      <c r="Q20" s="95"/>
      <c r="R20" s="95"/>
    </row>
    <row r="21" spans="2:18" ht="12.75">
      <c r="B21" s="4" t="s">
        <v>481</v>
      </c>
      <c r="C21" s="4"/>
      <c r="D21" s="61">
        <v>0</v>
      </c>
      <c r="E21" s="605">
        <v>204.64</v>
      </c>
      <c r="F21" s="740"/>
      <c r="G21" s="605">
        <v>311</v>
      </c>
      <c r="H21" s="605">
        <f t="shared" si="0"/>
        <v>515.64</v>
      </c>
      <c r="I21" s="469">
        <v>0</v>
      </c>
      <c r="J21" s="602">
        <v>204.64</v>
      </c>
      <c r="K21" s="95"/>
      <c r="L21" s="95"/>
      <c r="M21" s="95"/>
      <c r="N21" s="95"/>
      <c r="O21" s="95"/>
      <c r="P21" s="95"/>
      <c r="Q21" s="95"/>
      <c r="R21" s="95"/>
    </row>
    <row r="22" spans="2:18" ht="12.75">
      <c r="B22" s="4" t="s">
        <v>560</v>
      </c>
      <c r="D22" s="605">
        <v>146.89</v>
      </c>
      <c r="E22" s="605">
        <v>2360</v>
      </c>
      <c r="F22" s="605">
        <v>2129</v>
      </c>
      <c r="G22" s="605">
        <v>12523</v>
      </c>
      <c r="H22" s="605">
        <f t="shared" si="0"/>
        <v>17158.89</v>
      </c>
      <c r="I22" s="629">
        <v>256</v>
      </c>
      <c r="J22" s="602">
        <v>2360</v>
      </c>
      <c r="K22" s="95"/>
      <c r="L22" s="95"/>
      <c r="M22" s="95"/>
      <c r="N22" s="95"/>
      <c r="O22" s="95"/>
      <c r="P22" s="95"/>
      <c r="Q22" s="95"/>
      <c r="R22" s="95"/>
    </row>
    <row r="23" spans="2:18" ht="12.75">
      <c r="B23" s="4"/>
      <c r="D23" s="61"/>
      <c r="E23" s="61"/>
      <c r="F23" s="61"/>
      <c r="G23" s="61"/>
      <c r="H23" s="61"/>
      <c r="I23" s="793"/>
      <c r="J23" s="174"/>
      <c r="K23" s="557"/>
      <c r="L23" s="95"/>
      <c r="M23" s="95"/>
      <c r="N23" s="95"/>
      <c r="O23" s="95"/>
      <c r="P23" s="95"/>
      <c r="Q23" s="95"/>
      <c r="R23" s="95"/>
    </row>
    <row r="24" spans="2:18" ht="12.75">
      <c r="B24" s="3" t="s">
        <v>273</v>
      </c>
      <c r="C24" s="3"/>
      <c r="D24" s="506">
        <f aca="true" t="shared" si="1" ref="D24:J24">SUM(D9:D12)/1000</f>
        <v>1451.45474</v>
      </c>
      <c r="E24" s="506">
        <f t="shared" si="1"/>
        <v>617.10715</v>
      </c>
      <c r="F24" s="506">
        <f t="shared" si="1"/>
        <v>2.332</v>
      </c>
      <c r="G24" s="506">
        <f>SUM(G9:G12)/1000</f>
        <v>15.6685</v>
      </c>
      <c r="H24" s="506">
        <f t="shared" si="1"/>
        <v>2086.55339</v>
      </c>
      <c r="I24" s="998">
        <f t="shared" si="1"/>
        <v>2016.654</v>
      </c>
      <c r="J24" s="955">
        <f t="shared" si="1"/>
        <v>586.88664</v>
      </c>
      <c r="K24" s="95"/>
      <c r="L24" s="95"/>
      <c r="M24" s="95"/>
      <c r="N24" s="95"/>
      <c r="O24" s="95"/>
      <c r="P24" s="95"/>
      <c r="Q24" s="95"/>
      <c r="R24" s="95"/>
    </row>
    <row r="25" spans="2:18" ht="12.75">
      <c r="B25" s="48"/>
      <c r="C25" s="48"/>
      <c r="D25" s="541" t="s">
        <v>8</v>
      </c>
      <c r="E25" s="541" t="s">
        <v>8</v>
      </c>
      <c r="F25" s="541" t="s">
        <v>8</v>
      </c>
      <c r="G25" s="541" t="s">
        <v>8</v>
      </c>
      <c r="H25" s="541" t="s">
        <v>8</v>
      </c>
      <c r="I25" s="999" t="s">
        <v>7</v>
      </c>
      <c r="J25" s="854" t="s">
        <v>8</v>
      </c>
      <c r="K25" s="95"/>
      <c r="L25" s="95"/>
      <c r="M25" s="95"/>
      <c r="N25" s="95"/>
      <c r="O25" s="95"/>
      <c r="P25" s="95"/>
      <c r="Q25" s="95"/>
      <c r="R25" s="95"/>
    </row>
    <row r="26" spans="2:18" ht="12.75">
      <c r="B26" s="58" t="s">
        <v>671</v>
      </c>
      <c r="D26" s="763"/>
      <c r="E26" s="763"/>
      <c r="F26" s="763"/>
      <c r="G26" s="763"/>
      <c r="H26" s="763"/>
      <c r="J26" s="4"/>
      <c r="K26" s="95"/>
      <c r="L26" s="95"/>
      <c r="M26" s="95"/>
      <c r="N26" s="95"/>
      <c r="O26" s="95"/>
      <c r="P26" s="95"/>
      <c r="Q26" s="95"/>
      <c r="R26" s="95"/>
    </row>
    <row r="27" spans="2:18" ht="12.75">
      <c r="B27" s="4" t="s">
        <v>373</v>
      </c>
      <c r="I27" s="4"/>
      <c r="K27" s="95"/>
      <c r="L27" s="95"/>
      <c r="M27" s="95"/>
      <c r="N27" s="95"/>
      <c r="O27" s="95"/>
      <c r="P27" s="95"/>
      <c r="Q27" s="95"/>
      <c r="R27" s="95"/>
    </row>
    <row r="28" spans="2:18" ht="12.75">
      <c r="B28" s="58" t="s">
        <v>368</v>
      </c>
      <c r="K28" s="95"/>
      <c r="L28" s="95"/>
      <c r="M28" s="95"/>
      <c r="N28" s="95"/>
      <c r="O28" s="95"/>
      <c r="P28" s="95"/>
      <c r="Q28" s="95"/>
      <c r="R28" s="95"/>
    </row>
    <row r="29" ht="12.75">
      <c r="B29" s="58" t="s">
        <v>670</v>
      </c>
    </row>
    <row r="30" ht="12.75">
      <c r="B30" s="58" t="s">
        <v>809</v>
      </c>
    </row>
    <row r="33" spans="1:10" ht="15.75">
      <c r="A33" s="430" t="s">
        <v>367</v>
      </c>
      <c r="B33" s="70" t="s">
        <v>798</v>
      </c>
      <c r="C33" s="70"/>
      <c r="D33" s="70"/>
      <c r="E33" s="70"/>
      <c r="F33" s="70"/>
      <c r="G33" s="70"/>
      <c r="H33" s="70"/>
      <c r="I33" s="70"/>
      <c r="J33" s="70"/>
    </row>
    <row r="34" spans="2:10" ht="12.75">
      <c r="B34" s="55" t="s">
        <v>363</v>
      </c>
      <c r="C34" s="532"/>
      <c r="D34" s="531" t="s">
        <v>0</v>
      </c>
      <c r="E34" s="531" t="s">
        <v>1</v>
      </c>
      <c r="F34" s="531" t="s">
        <v>238</v>
      </c>
      <c r="G34" s="531" t="s">
        <v>324</v>
      </c>
      <c r="H34" s="530" t="s">
        <v>273</v>
      </c>
      <c r="I34" s="529" t="s">
        <v>366</v>
      </c>
      <c r="J34" s="528"/>
    </row>
    <row r="35" spans="2:10" ht="12.75">
      <c r="B35" s="204" t="s">
        <v>603</v>
      </c>
      <c r="C35" s="251" t="s">
        <v>604</v>
      </c>
      <c r="D35" s="527">
        <v>1446</v>
      </c>
      <c r="E35" s="527">
        <v>410</v>
      </c>
      <c r="F35" s="527">
        <v>129</v>
      </c>
      <c r="G35" s="527">
        <f>SUM(I13:I23)/1000</f>
        <v>31.364</v>
      </c>
      <c r="H35" s="611">
        <v>2016.9</v>
      </c>
      <c r="I35" s="4" t="s">
        <v>838</v>
      </c>
      <c r="J35" s="27"/>
    </row>
    <row r="36" spans="2:10" ht="12.75">
      <c r="B36" s="204" t="s">
        <v>359</v>
      </c>
      <c r="C36" s="251" t="s">
        <v>78</v>
      </c>
      <c r="D36" s="526">
        <v>430.2</v>
      </c>
      <c r="E36" s="526">
        <v>149.1</v>
      </c>
      <c r="F36" s="526">
        <v>0.307</v>
      </c>
      <c r="G36" s="526">
        <v>12.98</v>
      </c>
      <c r="H36" s="1000">
        <v>586.9</v>
      </c>
      <c r="I36" s="521" t="s">
        <v>8</v>
      </c>
      <c r="J36" s="512"/>
    </row>
    <row r="37" spans="2:10" ht="12.75">
      <c r="B37" s="204" t="s">
        <v>374</v>
      </c>
      <c r="C37" s="251"/>
      <c r="D37" s="527">
        <f>D36/0.7</f>
        <v>614.5714285714286</v>
      </c>
      <c r="E37" s="527">
        <f>E36/0.7</f>
        <v>213</v>
      </c>
      <c r="F37" s="526">
        <f>F36/0.7</f>
        <v>0.4385714285714286</v>
      </c>
      <c r="G37" s="527">
        <f>G36/0.7</f>
        <v>18.542857142857144</v>
      </c>
      <c r="H37" s="1001">
        <f>SUM(D37:G37)</f>
        <v>846.5528571428572</v>
      </c>
      <c r="I37" s="521" t="s">
        <v>879</v>
      </c>
      <c r="J37" s="512"/>
    </row>
    <row r="38" spans="2:10" ht="12.75">
      <c r="B38" s="204" t="s">
        <v>613</v>
      </c>
      <c r="C38" s="251"/>
      <c r="D38" s="526">
        <v>0</v>
      </c>
      <c r="E38" s="526">
        <v>0.2</v>
      </c>
      <c r="F38" s="526">
        <v>0</v>
      </c>
      <c r="G38" s="526">
        <v>4.25</v>
      </c>
      <c r="H38" s="526">
        <v>2.3</v>
      </c>
      <c r="I38" s="4" t="s">
        <v>8</v>
      </c>
      <c r="J38" s="512"/>
    </row>
    <row r="39" spans="2:10" ht="12.75">
      <c r="B39" s="204" t="s">
        <v>617</v>
      </c>
      <c r="C39" s="251"/>
      <c r="D39" s="526">
        <v>0.005</v>
      </c>
      <c r="E39" s="526">
        <v>0.1</v>
      </c>
      <c r="F39" s="526">
        <v>0</v>
      </c>
      <c r="G39" s="526">
        <v>18.6</v>
      </c>
      <c r="H39" s="526">
        <v>15.7</v>
      </c>
      <c r="I39" s="509" t="s">
        <v>614</v>
      </c>
      <c r="J39" s="502"/>
    </row>
    <row r="40" spans="2:10" ht="12.75">
      <c r="B40" s="517" t="s">
        <v>396</v>
      </c>
      <c r="C40" s="525"/>
      <c r="D40" s="524"/>
      <c r="E40" s="523"/>
      <c r="F40" s="522"/>
      <c r="G40" s="522"/>
      <c r="H40" s="658">
        <f>H35+H37</f>
        <v>2863.4528571428573</v>
      </c>
      <c r="I40" s="521" t="s">
        <v>573</v>
      </c>
      <c r="J40" s="512"/>
    </row>
    <row r="41" spans="2:10" ht="12.75">
      <c r="B41" s="26" t="s">
        <v>615</v>
      </c>
      <c r="C41" s="54"/>
      <c r="D41" s="297"/>
      <c r="E41" s="297"/>
      <c r="F41" s="297"/>
      <c r="G41" s="297"/>
      <c r="H41" s="490">
        <f>H38/4+H39/2</f>
        <v>8.424999999999999</v>
      </c>
      <c r="I41" s="521" t="s">
        <v>376</v>
      </c>
      <c r="J41" s="26"/>
    </row>
    <row r="42" spans="2:10" ht="12.75">
      <c r="B42" s="600" t="s">
        <v>819</v>
      </c>
      <c r="C42" s="957"/>
      <c r="D42" s="490"/>
      <c r="E42" s="490"/>
      <c r="F42" s="490"/>
      <c r="G42" s="490"/>
      <c r="H42" s="490">
        <f>H35+H36+H38+H39</f>
        <v>2621.8</v>
      </c>
      <c r="I42" s="958" t="s">
        <v>412</v>
      </c>
      <c r="J42" s="600"/>
    </row>
    <row r="43" spans="2:10" ht="12.75">
      <c r="B43" s="26" t="s">
        <v>896</v>
      </c>
      <c r="C43" s="54"/>
      <c r="D43" s="297"/>
      <c r="E43" s="297"/>
      <c r="F43" s="297"/>
      <c r="G43" s="297"/>
      <c r="H43" s="872">
        <f>H37/(H37+H35)</f>
        <v>0.29564057778396413</v>
      </c>
      <c r="I43" s="521"/>
      <c r="J43" s="26"/>
    </row>
    <row r="44" spans="2:4" ht="12.75">
      <c r="B44" s="58" t="s">
        <v>602</v>
      </c>
      <c r="D44" t="s">
        <v>616</v>
      </c>
    </row>
    <row r="45" spans="3:9" ht="12.75">
      <c r="C45" s="54"/>
      <c r="D45" s="297"/>
      <c r="E45" s="297"/>
      <c r="F45" s="297"/>
      <c r="G45" s="297"/>
      <c r="I45" s="521"/>
    </row>
    <row r="46" spans="2:10" ht="12.75">
      <c r="B46" s="26"/>
      <c r="C46" s="54"/>
      <c r="D46" s="297"/>
      <c r="E46" s="297"/>
      <c r="F46" s="297"/>
      <c r="G46" s="297"/>
      <c r="H46" s="297"/>
      <c r="I46" s="521"/>
      <c r="J46" s="26"/>
    </row>
    <row r="47" spans="1:8" ht="15.75">
      <c r="A47" s="430" t="s">
        <v>364</v>
      </c>
      <c r="B47" s="70" t="s">
        <v>797</v>
      </c>
      <c r="C47" s="520"/>
      <c r="D47" s="520"/>
      <c r="E47" s="520"/>
      <c r="F47" s="520"/>
      <c r="G47" s="519"/>
      <c r="H47" s="492"/>
    </row>
    <row r="48" spans="2:10" ht="13.5">
      <c r="B48" s="518" t="s">
        <v>363</v>
      </c>
      <c r="C48" s="69" t="s">
        <v>0</v>
      </c>
      <c r="D48" s="69" t="s">
        <v>1</v>
      </c>
      <c r="E48" s="69" t="s">
        <v>238</v>
      </c>
      <c r="F48" s="69" t="s">
        <v>324</v>
      </c>
      <c r="G48" s="551" t="s">
        <v>362</v>
      </c>
      <c r="H48" s="552" t="s">
        <v>361</v>
      </c>
      <c r="I48" s="553" t="s">
        <v>360</v>
      </c>
      <c r="J48" s="553"/>
    </row>
    <row r="49" spans="2:10" ht="12.75">
      <c r="B49" s="517" t="s">
        <v>322</v>
      </c>
      <c r="C49" s="507">
        <f>D9/1000</f>
        <v>1042.002</v>
      </c>
      <c r="D49" s="507">
        <f>D10/1000</f>
        <v>294.119</v>
      </c>
      <c r="E49" s="507">
        <f>D11/1000</f>
        <v>92.509</v>
      </c>
      <c r="F49" s="507">
        <f>SUM(D13:D23)/1000</f>
        <v>22.82474</v>
      </c>
      <c r="G49" s="515">
        <f>SUM(C49:F49)</f>
        <v>1451.4547400000001</v>
      </c>
      <c r="H49" s="554">
        <v>0.865</v>
      </c>
      <c r="I49" s="507">
        <f>G49*H49</f>
        <v>1255.5083501000001</v>
      </c>
      <c r="J49" s="516">
        <f>I49/I$55</f>
        <v>0.7113985530135549</v>
      </c>
    </row>
    <row r="50" spans="2:10" ht="12.75">
      <c r="B50" s="204" t="s">
        <v>359</v>
      </c>
      <c r="C50" s="297">
        <f>E9/1000</f>
        <v>461.172</v>
      </c>
      <c r="D50" s="297">
        <f>E10/1000</f>
        <v>148.359</v>
      </c>
      <c r="E50" s="297">
        <f>E11/1000</f>
        <v>0.316</v>
      </c>
      <c r="F50" s="297">
        <f>SUM(E13:E23)/1000</f>
        <v>7.26015</v>
      </c>
      <c r="G50" s="515">
        <f>SUM(C50:F50)</f>
        <v>617.10715</v>
      </c>
      <c r="H50" s="659">
        <v>0.8</v>
      </c>
      <c r="I50" s="297">
        <f>G50*H50</f>
        <v>493.68572000000006</v>
      </c>
      <c r="J50" s="360">
        <f>I50/I$55</f>
        <v>0.2797331509770379</v>
      </c>
    </row>
    <row r="51" spans="2:10" ht="12.75">
      <c r="B51" s="204" t="s">
        <v>358</v>
      </c>
      <c r="C51" s="297">
        <f>F9/1000</f>
        <v>0</v>
      </c>
      <c r="D51" s="297">
        <f>F10/1000</f>
        <v>0.181</v>
      </c>
      <c r="E51" s="297">
        <f>F11/1000</f>
        <v>0</v>
      </c>
      <c r="F51" s="297">
        <f>SUM(F13:F23)/1000</f>
        <v>2.142</v>
      </c>
      <c r="G51" s="515">
        <f>SUM(C51:F51)</f>
        <v>2.323</v>
      </c>
      <c r="H51" s="659">
        <v>0.79</v>
      </c>
      <c r="I51" s="297">
        <f>G51*H51</f>
        <v>1.83517</v>
      </c>
      <c r="J51" s="360">
        <f>I51/I$55</f>
        <v>0.0010398475505399073</v>
      </c>
    </row>
    <row r="52" spans="2:10" ht="12.75">
      <c r="B52" s="204" t="s">
        <v>357</v>
      </c>
      <c r="C52" s="297">
        <f>G9/1000</f>
        <v>0.003</v>
      </c>
      <c r="D52" s="297">
        <f>G10/1000</f>
        <v>0.077</v>
      </c>
      <c r="E52" s="297">
        <f>G11/1000</f>
        <v>1.89</v>
      </c>
      <c r="F52" s="297">
        <v>18.7</v>
      </c>
      <c r="G52" s="515">
        <v>15.7</v>
      </c>
      <c r="H52" s="659">
        <v>0.88</v>
      </c>
      <c r="I52" s="297">
        <f>G52*H52</f>
        <v>13.815999999999999</v>
      </c>
      <c r="J52" s="360">
        <f>I52/I$55</f>
        <v>0.00782844845886722</v>
      </c>
    </row>
    <row r="53" spans="2:10" ht="12.75">
      <c r="B53" s="514" t="s">
        <v>356</v>
      </c>
      <c r="C53" s="507">
        <f>SUM(C49:C52)</f>
        <v>1503.177</v>
      </c>
      <c r="D53" s="507">
        <f>SUM(D49:D52)</f>
        <v>442.73600000000005</v>
      </c>
      <c r="E53" s="507">
        <f>SUM(E49:E52)</f>
        <v>94.715</v>
      </c>
      <c r="F53" s="507">
        <f>SUM(F49:F52)</f>
        <v>50.92689</v>
      </c>
      <c r="G53" s="513">
        <f>SUM(G49:G52)</f>
        <v>2086.5848899999996</v>
      </c>
      <c r="H53" s="26" t="s">
        <v>375</v>
      </c>
      <c r="I53" s="26"/>
      <c r="J53" s="542">
        <f>1-I55/G53</f>
        <v>0.15419437351527998</v>
      </c>
    </row>
    <row r="54" spans="2:10" ht="12.75">
      <c r="B54" s="58" t="s">
        <v>355</v>
      </c>
      <c r="C54" s="511">
        <f>C53/$G53</f>
        <v>0.7204005967856885</v>
      </c>
      <c r="D54" s="511">
        <f>D53/$G53</f>
        <v>0.21218211735444903</v>
      </c>
      <c r="E54" s="511">
        <f>E53/$G53</f>
        <v>0.04539235401057659</v>
      </c>
      <c r="F54" s="511">
        <f>F53/$G53</f>
        <v>0.024406814332869058</v>
      </c>
      <c r="G54" s="510">
        <f>G53/$G53</f>
        <v>1</v>
      </c>
      <c r="H54" s="509"/>
      <c r="I54" s="26"/>
      <c r="J54" s="502"/>
    </row>
    <row r="55" spans="2:10" ht="12.75">
      <c r="B55" s="508" t="s">
        <v>354</v>
      </c>
      <c r="C55" s="507">
        <f>(C49*$H49+C50*$H50+C51*$H51+C52*$H52)</f>
        <v>1270.27197</v>
      </c>
      <c r="D55" s="507">
        <f>(D49*$H49+D50*$H50+D51*$H51+D52*$H52)</f>
        <v>373.31088500000004</v>
      </c>
      <c r="E55" s="507">
        <f>(E49*$H49+E50*$H50+E51*$H51+E52*$H52)</f>
        <v>81.936285</v>
      </c>
      <c r="F55" s="507">
        <f>(F49*$H49+F50*$H50+F51*$H51+F52*$H52)</f>
        <v>43.6997001</v>
      </c>
      <c r="G55" s="507"/>
      <c r="H55" s="3"/>
      <c r="I55" s="506">
        <f>SUM(I49:I52)</f>
        <v>1764.8452401000004</v>
      </c>
      <c r="J55" s="505">
        <v>1</v>
      </c>
    </row>
    <row r="56" spans="2:10" ht="12.75">
      <c r="B56" s="504" t="s">
        <v>353</v>
      </c>
      <c r="C56" s="503">
        <f>C55/$I55</f>
        <v>0.7197639436804234</v>
      </c>
      <c r="D56" s="503">
        <f>D55/$I55</f>
        <v>0.2115261307438194</v>
      </c>
      <c r="E56" s="503">
        <f>E55/$I55</f>
        <v>0.046426895196406734</v>
      </c>
      <c r="F56" s="503"/>
      <c r="G56" s="488"/>
      <c r="H56" s="29"/>
      <c r="I56" s="488">
        <v>1</v>
      </c>
      <c r="J56" s="502"/>
    </row>
    <row r="57" spans="2:10" ht="12.75">
      <c r="B57" s="175" t="s">
        <v>21</v>
      </c>
      <c r="C57" s="3" t="s">
        <v>849</v>
      </c>
      <c r="D57" s="3"/>
      <c r="E57" s="3"/>
      <c r="F57" s="3"/>
      <c r="G57" s="3"/>
      <c r="H57" s="3"/>
      <c r="I57" s="3"/>
      <c r="J57" s="3"/>
    </row>
    <row r="58" spans="3:10" ht="12.75">
      <c r="C58" s="4" t="s">
        <v>352</v>
      </c>
      <c r="D58" s="4"/>
      <c r="E58" s="4"/>
      <c r="F58" s="4"/>
      <c r="G58" s="4"/>
      <c r="H58" s="4"/>
      <c r="I58" s="4"/>
      <c r="J58" s="4"/>
    </row>
    <row r="59" spans="2:8" ht="12.75">
      <c r="B59" s="990" t="s">
        <v>351</v>
      </c>
      <c r="C59" s="4" t="s">
        <v>410</v>
      </c>
      <c r="D59" s="4"/>
      <c r="E59" s="4"/>
      <c r="F59" s="4"/>
      <c r="G59" s="501">
        <f>C56</f>
        <v>0.7197639436804234</v>
      </c>
      <c r="H59" t="s">
        <v>411</v>
      </c>
    </row>
    <row r="60" spans="3:10" ht="12.75">
      <c r="C60" s="4" t="s">
        <v>482</v>
      </c>
      <c r="D60" s="4"/>
      <c r="E60" s="4"/>
      <c r="F60" s="4"/>
      <c r="G60" s="4"/>
      <c r="H60" s="4"/>
      <c r="I60" s="4"/>
      <c r="J60" s="4"/>
    </row>
    <row r="62" spans="1:8" ht="15.75">
      <c r="A62" s="2" t="s">
        <v>350</v>
      </c>
      <c r="B62" s="2"/>
      <c r="C62" s="1"/>
      <c r="D62" s="1"/>
      <c r="E62" s="1"/>
      <c r="F62" s="1"/>
      <c r="G62" s="1"/>
      <c r="H62" s="1"/>
    </row>
    <row r="63" spans="1:8" ht="15.75">
      <c r="A63" s="391"/>
      <c r="B63" s="391"/>
      <c r="C63" s="54"/>
      <c r="D63" s="54"/>
      <c r="E63" s="54"/>
      <c r="F63" s="54"/>
      <c r="G63" s="54"/>
      <c r="H63" s="54"/>
    </row>
    <row r="64" spans="2:9" ht="15.75">
      <c r="B64" s="391"/>
      <c r="C64" s="391"/>
      <c r="D64" s="54"/>
      <c r="E64" s="54"/>
      <c r="F64" s="54"/>
      <c r="G64" s="54"/>
      <c r="H64" s="54"/>
      <c r="I64" s="54"/>
    </row>
    <row r="65" spans="1:10" ht="15.75">
      <c r="A65" s="500" t="s">
        <v>349</v>
      </c>
      <c r="B65" s="485" t="s">
        <v>803</v>
      </c>
      <c r="C65" s="70"/>
      <c r="D65" s="485"/>
      <c r="E65" s="499"/>
      <c r="F65" s="498"/>
      <c r="G65" s="166"/>
      <c r="H65" s="498"/>
      <c r="J65" s="498"/>
    </row>
    <row r="66" spans="2:10" ht="12.75">
      <c r="B66" s="495" t="s">
        <v>5</v>
      </c>
      <c r="C66" s="482" t="s">
        <v>285</v>
      </c>
      <c r="D66" s="482" t="s">
        <v>285</v>
      </c>
      <c r="E66" s="482" t="s">
        <v>285</v>
      </c>
      <c r="F66" s="482" t="s">
        <v>285</v>
      </c>
      <c r="G66" s="482" t="s">
        <v>285</v>
      </c>
      <c r="H66" s="916" t="s">
        <v>348</v>
      </c>
      <c r="I66" s="919" t="s">
        <v>285</v>
      </c>
      <c r="J66" s="496"/>
    </row>
    <row r="67" spans="2:10" ht="12.75">
      <c r="B67" s="493" t="s">
        <v>335</v>
      </c>
      <c r="C67" s="479" t="s">
        <v>347</v>
      </c>
      <c r="D67" s="497" t="s">
        <v>347</v>
      </c>
      <c r="E67" s="497" t="s">
        <v>347</v>
      </c>
      <c r="F67" s="497" t="s">
        <v>347</v>
      </c>
      <c r="G67" s="479" t="s">
        <v>347</v>
      </c>
      <c r="H67" s="476" t="s">
        <v>346</v>
      </c>
      <c r="I67" s="917" t="s">
        <v>535</v>
      </c>
      <c r="J67" s="496"/>
    </row>
    <row r="68" spans="2:10" ht="12.75">
      <c r="B68" s="493"/>
      <c r="C68" s="479" t="s">
        <v>0</v>
      </c>
      <c r="D68" s="497" t="s">
        <v>1</v>
      </c>
      <c r="E68" s="479" t="s">
        <v>238</v>
      </c>
      <c r="F68" s="479" t="s">
        <v>237</v>
      </c>
      <c r="G68" s="69" t="s">
        <v>236</v>
      </c>
      <c r="H68" s="918" t="s">
        <v>273</v>
      </c>
      <c r="I68" s="920" t="s">
        <v>294</v>
      </c>
      <c r="J68" s="496"/>
    </row>
    <row r="69" spans="2:10" ht="12.75">
      <c r="B69" s="495">
        <v>1990</v>
      </c>
      <c r="C69" s="182">
        <v>2.279</v>
      </c>
      <c r="D69" s="182">
        <v>0</v>
      </c>
      <c r="E69" s="182">
        <v>0.228</v>
      </c>
      <c r="F69" s="182">
        <v>0</v>
      </c>
      <c r="G69" s="178">
        <v>2.507</v>
      </c>
      <c r="H69" s="183">
        <v>1.2535</v>
      </c>
      <c r="I69" s="101">
        <f aca="true" t="shared" si="2" ref="I69:I91">G69/I105</f>
        <v>0.9706181835076214</v>
      </c>
      <c r="J69" s="494"/>
    </row>
    <row r="70" spans="2:10" ht="12.75">
      <c r="B70" s="493">
        <v>1991</v>
      </c>
      <c r="C70" s="178">
        <v>2.362</v>
      </c>
      <c r="D70" s="178"/>
      <c r="E70" s="178" t="s">
        <v>316</v>
      </c>
      <c r="F70" s="178">
        <v>8.57592</v>
      </c>
      <c r="G70" s="178">
        <v>10.93792</v>
      </c>
      <c r="H70" s="183">
        <v>5.46896</v>
      </c>
      <c r="I70" s="101">
        <f t="shared" si="2"/>
        <v>4.0451590904931525</v>
      </c>
      <c r="J70" s="494"/>
    </row>
    <row r="71" spans="2:10" ht="12.75">
      <c r="B71" s="493">
        <v>1992</v>
      </c>
      <c r="C71" s="178">
        <v>2.763</v>
      </c>
      <c r="D71" s="178"/>
      <c r="E71" s="178" t="s">
        <v>316</v>
      </c>
      <c r="F71" s="178"/>
      <c r="G71" s="178">
        <v>2.763</v>
      </c>
      <c r="H71" s="183">
        <v>1.3815</v>
      </c>
      <c r="I71" s="101">
        <f t="shared" si="2"/>
        <v>1.0109165521280705</v>
      </c>
      <c r="J71" s="494"/>
    </row>
    <row r="72" spans="2:10" ht="12.75">
      <c r="B72" s="493">
        <v>1993</v>
      </c>
      <c r="C72" s="178">
        <v>3.363</v>
      </c>
      <c r="D72" s="178"/>
      <c r="E72" s="178">
        <v>7.111</v>
      </c>
      <c r="F72" s="178" t="s">
        <v>316</v>
      </c>
      <c r="G72" s="178">
        <v>10.474</v>
      </c>
      <c r="H72" s="183">
        <v>5.237</v>
      </c>
      <c r="I72" s="101">
        <f t="shared" si="2"/>
        <v>3.784934644660688</v>
      </c>
      <c r="J72" s="494"/>
    </row>
    <row r="73" spans="2:10" ht="12.75">
      <c r="B73" s="493">
        <v>1994</v>
      </c>
      <c r="C73" s="178">
        <v>3.69</v>
      </c>
      <c r="D73" s="178"/>
      <c r="E73" s="178" t="s">
        <v>316</v>
      </c>
      <c r="F73" s="178" t="s">
        <v>316</v>
      </c>
      <c r="G73" s="178">
        <v>3.69</v>
      </c>
      <c r="H73" s="183">
        <v>1.845</v>
      </c>
      <c r="I73" s="101">
        <f t="shared" si="2"/>
        <v>1.3148252820574007</v>
      </c>
      <c r="J73" s="494"/>
    </row>
    <row r="74" spans="2:10" ht="12.75">
      <c r="B74" s="493">
        <v>1995</v>
      </c>
      <c r="C74" s="178">
        <v>4.041</v>
      </c>
      <c r="D74" s="178"/>
      <c r="E74" s="178">
        <v>0.49684</v>
      </c>
      <c r="F74" s="178">
        <v>6.7973</v>
      </c>
      <c r="G74" s="178">
        <v>11.33514</v>
      </c>
      <c r="H74" s="183">
        <v>5.66757</v>
      </c>
      <c r="I74" s="101">
        <f t="shared" si="2"/>
        <v>3.9751680502769653</v>
      </c>
      <c r="J74" s="494"/>
    </row>
    <row r="75" spans="2:10" ht="12.75">
      <c r="B75" s="493">
        <v>1996</v>
      </c>
      <c r="C75" s="178">
        <v>4.307</v>
      </c>
      <c r="D75" s="178"/>
      <c r="E75" s="178" t="s">
        <v>316</v>
      </c>
      <c r="F75" s="178" t="s">
        <v>316</v>
      </c>
      <c r="G75" s="178">
        <v>4.307</v>
      </c>
      <c r="H75" s="183">
        <v>2.1535</v>
      </c>
      <c r="I75" s="101">
        <f t="shared" si="2"/>
        <v>1.4873360160498204</v>
      </c>
      <c r="J75" s="494"/>
    </row>
    <row r="76" spans="2:10" ht="12.75">
      <c r="B76" s="493">
        <v>1997</v>
      </c>
      <c r="C76" s="178">
        <v>4.869</v>
      </c>
      <c r="D76" s="178">
        <v>0</v>
      </c>
      <c r="E76" s="178">
        <v>2.4106</v>
      </c>
      <c r="F76" s="178">
        <v>7.9655000000000005</v>
      </c>
      <c r="G76" s="178">
        <v>15.2451</v>
      </c>
      <c r="H76" s="183">
        <v>7.62255</v>
      </c>
      <c r="I76" s="101">
        <f t="shared" si="2"/>
        <v>5.206241450763144</v>
      </c>
      <c r="J76" s="489"/>
    </row>
    <row r="77" spans="2:10" ht="12.75">
      <c r="B77" s="493">
        <v>1998</v>
      </c>
      <c r="C77" s="178">
        <v>4.87</v>
      </c>
      <c r="D77" s="178">
        <v>0</v>
      </c>
      <c r="E77" s="178">
        <v>3.3373</v>
      </c>
      <c r="F77" s="178">
        <v>8.78976</v>
      </c>
      <c r="G77" s="178">
        <v>16.997059999999998</v>
      </c>
      <c r="H77" s="183">
        <v>8.498529999999999</v>
      </c>
      <c r="I77" s="101">
        <f t="shared" si="2"/>
        <v>5.7827365153796455</v>
      </c>
      <c r="J77" s="489"/>
    </row>
    <row r="78" spans="2:10" ht="12.75">
      <c r="B78" s="493">
        <v>1999</v>
      </c>
      <c r="C78" s="178">
        <v>5.497</v>
      </c>
      <c r="D78" s="178"/>
      <c r="E78" s="178">
        <v>4.1888</v>
      </c>
      <c r="F78" s="178">
        <v>8.04476</v>
      </c>
      <c r="G78" s="178">
        <v>17.73056</v>
      </c>
      <c r="H78" s="183">
        <v>8.86528</v>
      </c>
      <c r="I78" s="101">
        <f t="shared" si="2"/>
        <v>5.991072661844482</v>
      </c>
      <c r="J78" s="489"/>
    </row>
    <row r="79" spans="2:10" ht="12.75">
      <c r="B79" s="493">
        <v>2000</v>
      </c>
      <c r="C79" s="178">
        <v>4.997</v>
      </c>
      <c r="D79" s="178">
        <v>0</v>
      </c>
      <c r="E79" s="178">
        <v>13.168</v>
      </c>
      <c r="F79" s="178">
        <v>5.58357</v>
      </c>
      <c r="G79" s="178">
        <v>23.74857</v>
      </c>
      <c r="H79" s="183">
        <v>11.874285</v>
      </c>
      <c r="I79" s="101">
        <f t="shared" si="2"/>
        <v>7.9670834639978265</v>
      </c>
      <c r="J79" s="489"/>
    </row>
    <row r="80" spans="2:10" ht="12.75">
      <c r="B80" s="493">
        <v>2001</v>
      </c>
      <c r="C80" s="178">
        <v>5.239</v>
      </c>
      <c r="D80" s="91"/>
      <c r="E80" s="178">
        <v>4.094</v>
      </c>
      <c r="F80" s="177">
        <v>4.40918</v>
      </c>
      <c r="G80" s="178">
        <v>13.742180000000001</v>
      </c>
      <c r="H80" s="183">
        <v>6.871090000000001</v>
      </c>
      <c r="I80" s="101">
        <f t="shared" si="2"/>
        <v>4.569232469294392</v>
      </c>
      <c r="J80" s="489"/>
    </row>
    <row r="81" spans="2:10" ht="12.75">
      <c r="B81" s="493">
        <v>2002</v>
      </c>
      <c r="C81" s="178">
        <v>5.396</v>
      </c>
      <c r="D81" s="91">
        <v>0</v>
      </c>
      <c r="E81" s="178">
        <v>3.438</v>
      </c>
      <c r="F81" s="177">
        <v>6.699109999999999</v>
      </c>
      <c r="G81" s="178">
        <v>15.533109999999999</v>
      </c>
      <c r="H81" s="183">
        <v>7.766554999999999</v>
      </c>
      <c r="I81" s="101">
        <f t="shared" si="2"/>
        <v>5.074323199495418</v>
      </c>
      <c r="J81" s="489"/>
    </row>
    <row r="82" spans="2:10" ht="12.75">
      <c r="B82" s="491">
        <v>2003</v>
      </c>
      <c r="C82" s="178">
        <v>5.179</v>
      </c>
      <c r="D82" s="91"/>
      <c r="E82" s="178" t="s">
        <v>345</v>
      </c>
      <c r="F82" s="177">
        <v>4.831</v>
      </c>
      <c r="G82" s="178">
        <v>13</v>
      </c>
      <c r="H82" s="183">
        <v>6.5</v>
      </c>
      <c r="I82" s="101">
        <f t="shared" si="2"/>
        <v>4.158749048286276</v>
      </c>
      <c r="J82" s="489"/>
    </row>
    <row r="83" spans="2:10" ht="12.75">
      <c r="B83" s="491">
        <v>2004</v>
      </c>
      <c r="C83" s="177">
        <v>4.442</v>
      </c>
      <c r="D83" s="91">
        <v>0</v>
      </c>
      <c r="E83" s="178">
        <v>3.764</v>
      </c>
      <c r="F83" s="177">
        <v>8.317169999999997</v>
      </c>
      <c r="G83" s="660">
        <v>16.523169999999997</v>
      </c>
      <c r="H83" s="183">
        <f>G83/2</f>
        <v>8.261584999999998</v>
      </c>
      <c r="I83" s="101">
        <f t="shared" si="2"/>
        <v>5.199235368156072</v>
      </c>
      <c r="J83" s="489"/>
    </row>
    <row r="84" spans="2:10" ht="12.75">
      <c r="B84" s="491">
        <v>2005</v>
      </c>
      <c r="C84" s="177">
        <v>3.8</v>
      </c>
      <c r="D84" s="91">
        <v>0</v>
      </c>
      <c r="E84" s="178">
        <v>0</v>
      </c>
      <c r="F84" s="177">
        <f>(G84-C84)</f>
        <v>13</v>
      </c>
      <c r="G84" s="660">
        <v>16.8</v>
      </c>
      <c r="H84" s="183">
        <f>G84/2</f>
        <v>8.4</v>
      </c>
      <c r="I84" s="101">
        <f t="shared" si="2"/>
        <v>5.215787692603827</v>
      </c>
      <c r="J84" s="489"/>
    </row>
    <row r="85" spans="2:10" ht="12.75">
      <c r="B85" s="491">
        <v>2006</v>
      </c>
      <c r="C85" s="177">
        <v>3.554</v>
      </c>
      <c r="D85" s="91">
        <v>0</v>
      </c>
      <c r="E85" s="178">
        <v>0</v>
      </c>
      <c r="F85" s="619">
        <f>G85-C85</f>
        <v>14.746</v>
      </c>
      <c r="G85" s="42">
        <v>18.3</v>
      </c>
      <c r="H85" s="183">
        <f>G85*0.5</f>
        <v>9.15</v>
      </c>
      <c r="I85" s="101">
        <f t="shared" si="2"/>
        <v>5.602378102355142</v>
      </c>
      <c r="J85" s="489"/>
    </row>
    <row r="86" spans="2:10" ht="12.75">
      <c r="B86" s="491">
        <v>2007</v>
      </c>
      <c r="C86" s="42">
        <v>2.587</v>
      </c>
      <c r="D86" s="59">
        <v>0</v>
      </c>
      <c r="E86" s="41">
        <v>0</v>
      </c>
      <c r="F86" s="177">
        <v>19.4</v>
      </c>
      <c r="G86" s="660">
        <v>22</v>
      </c>
      <c r="H86" s="661">
        <f>G86/2</f>
        <v>11</v>
      </c>
      <c r="I86" s="101">
        <f t="shared" si="2"/>
        <v>6.582175468830407</v>
      </c>
      <c r="J86" s="489"/>
    </row>
    <row r="87" spans="2:10" ht="12.75">
      <c r="B87" s="491">
        <v>2008</v>
      </c>
      <c r="C87" s="42"/>
      <c r="D87" s="59"/>
      <c r="E87" s="41"/>
      <c r="F87" s="177"/>
      <c r="G87" s="660">
        <f>(G86+G88)/2</f>
        <v>19.9</v>
      </c>
      <c r="H87" s="661"/>
      <c r="I87" s="101">
        <f t="shared" si="2"/>
        <v>5.884718657219573</v>
      </c>
      <c r="J87" s="489"/>
    </row>
    <row r="88" spans="2:10" ht="12.75">
      <c r="B88" s="491">
        <v>2009</v>
      </c>
      <c r="C88" s="42">
        <v>12</v>
      </c>
      <c r="D88" s="41">
        <v>87</v>
      </c>
      <c r="E88" s="41">
        <f>G10</f>
        <v>77</v>
      </c>
      <c r="F88" s="177">
        <v>17.7</v>
      </c>
      <c r="G88" s="660">
        <v>17.8</v>
      </c>
      <c r="H88" s="661">
        <f>G88/2</f>
        <v>8.9</v>
      </c>
      <c r="I88" s="101">
        <f t="shared" si="2"/>
        <v>5.1943504143807635</v>
      </c>
      <c r="J88" s="489"/>
    </row>
    <row r="89" spans="2:10" ht="12.75">
      <c r="B89" s="491">
        <v>2010</v>
      </c>
      <c r="C89" s="42">
        <v>0.002</v>
      </c>
      <c r="D89" s="41">
        <v>0.138</v>
      </c>
      <c r="E89" s="41">
        <f>G11</f>
        <v>1890</v>
      </c>
      <c r="F89" s="177">
        <v>14.9</v>
      </c>
      <c r="G89" s="660">
        <v>14.9</v>
      </c>
      <c r="H89" s="661">
        <f>G89/2</f>
        <v>7.45</v>
      </c>
      <c r="I89" s="101">
        <f t="shared" si="2"/>
        <v>4.2868815669846825</v>
      </c>
      <c r="J89" s="489"/>
    </row>
    <row r="90" spans="2:10" ht="12.75">
      <c r="B90" s="491">
        <v>2011</v>
      </c>
      <c r="C90" s="196">
        <v>0.005</v>
      </c>
      <c r="D90" s="196">
        <v>0.113</v>
      </c>
      <c r="E90" s="196">
        <v>0</v>
      </c>
      <c r="F90" s="188">
        <f>G90-D90-C90</f>
        <v>18.682000000000002</v>
      </c>
      <c r="G90" s="660">
        <v>18.8</v>
      </c>
      <c r="H90" s="661">
        <f>G90/2</f>
        <v>9.4</v>
      </c>
      <c r="I90" s="101">
        <f t="shared" si="2"/>
        <v>5.351399049272722</v>
      </c>
      <c r="J90" s="489"/>
    </row>
    <row r="91" spans="2:10" ht="12.75">
      <c r="B91" s="491">
        <v>2012</v>
      </c>
      <c r="C91" s="196">
        <v>0.003</v>
      </c>
      <c r="D91" s="196">
        <v>0.077</v>
      </c>
      <c r="E91" s="196">
        <v>1.89</v>
      </c>
      <c r="F91" s="188">
        <v>13.699</v>
      </c>
      <c r="G91" s="660">
        <v>15.7</v>
      </c>
      <c r="H91" s="956">
        <f>G91/2</f>
        <v>7.85</v>
      </c>
      <c r="I91" s="101">
        <f t="shared" si="2"/>
        <v>4.43089775068439</v>
      </c>
      <c r="J91" s="489"/>
    </row>
    <row r="92" spans="2:10" ht="12.75">
      <c r="B92" s="976" t="s">
        <v>729</v>
      </c>
      <c r="C92" s="977"/>
      <c r="D92" s="978"/>
      <c r="E92" s="978"/>
      <c r="F92" s="977"/>
      <c r="G92" s="977">
        <f>(G91-G90)/G90</f>
        <v>-0.16489361702127667</v>
      </c>
      <c r="H92" s="977">
        <f>(H91-H90)/H90</f>
        <v>-0.16489361702127667</v>
      </c>
      <c r="I92" s="977">
        <f>(I91-I90)/I90</f>
        <v>-0.1720113357484398</v>
      </c>
      <c r="J92" s="486"/>
    </row>
    <row r="93" spans="2:10" ht="12.75">
      <c r="B93" s="666" t="s">
        <v>21</v>
      </c>
      <c r="C93" s="4" t="s">
        <v>344</v>
      </c>
      <c r="D93" s="4"/>
      <c r="E93" s="26" t="s">
        <v>850</v>
      </c>
      <c r="F93" s="26"/>
      <c r="G93" s="26"/>
      <c r="H93" s="487"/>
      <c r="J93" s="486"/>
    </row>
    <row r="94" spans="2:9" ht="12.75">
      <c r="B94" s="4"/>
      <c r="C94" s="26" t="s">
        <v>483</v>
      </c>
      <c r="D94" s="26"/>
      <c r="E94" s="26"/>
      <c r="F94" s="487"/>
      <c r="G94" s="664" t="s">
        <v>343</v>
      </c>
      <c r="H94" s="486"/>
      <c r="I94" s="486"/>
    </row>
    <row r="95" spans="2:9" ht="12.75">
      <c r="B95" s="4"/>
      <c r="C95" s="26"/>
      <c r="D95" s="26"/>
      <c r="E95" s="26"/>
      <c r="F95" s="487"/>
      <c r="G95" s="372"/>
      <c r="H95" s="486"/>
      <c r="I95" s="486"/>
    </row>
    <row r="96" ht="12.75">
      <c r="A96" s="4"/>
    </row>
    <row r="97" spans="1:5" ht="15.75">
      <c r="A97" s="430" t="s">
        <v>342</v>
      </c>
      <c r="B97" s="485" t="s">
        <v>804</v>
      </c>
      <c r="C97" s="485"/>
      <c r="D97" s="485"/>
      <c r="E97" s="485"/>
    </row>
    <row r="98" spans="1:9" ht="15.75">
      <c r="A98" s="4"/>
      <c r="B98" s="701"/>
      <c r="C98" s="770" t="s">
        <v>581</v>
      </c>
      <c r="D98" s="770"/>
      <c r="E98" s="769" t="s">
        <v>582</v>
      </c>
      <c r="F98" s="770"/>
      <c r="G98" s="314" t="s">
        <v>559</v>
      </c>
      <c r="H98" s="767" t="s">
        <v>26</v>
      </c>
      <c r="I98" s="768" t="s">
        <v>520</v>
      </c>
    </row>
    <row r="99" spans="2:9" ht="12.75">
      <c r="B99" s="484"/>
      <c r="C99" s="483" t="s">
        <v>398</v>
      </c>
      <c r="D99" s="482" t="s">
        <v>852</v>
      </c>
      <c r="E99" s="482" t="s">
        <v>341</v>
      </c>
      <c r="F99" s="1014" t="s">
        <v>341</v>
      </c>
      <c r="G99" s="703" t="s">
        <v>341</v>
      </c>
      <c r="H99" s="1012" t="s">
        <v>341</v>
      </c>
      <c r="I99" s="481" t="s">
        <v>340</v>
      </c>
    </row>
    <row r="100" spans="2:9" ht="12.75">
      <c r="B100" s="478" t="s">
        <v>5</v>
      </c>
      <c r="C100" s="476" t="s">
        <v>339</v>
      </c>
      <c r="D100" s="477" t="s">
        <v>339</v>
      </c>
      <c r="E100" s="479" t="s">
        <v>298</v>
      </c>
      <c r="F100" s="1013" t="s">
        <v>298</v>
      </c>
      <c r="G100" s="704" t="s">
        <v>339</v>
      </c>
      <c r="H100" s="479" t="s">
        <v>397</v>
      </c>
      <c r="I100" s="480" t="s">
        <v>338</v>
      </c>
    </row>
    <row r="101" spans="2:9" ht="12.75">
      <c r="B101" s="478" t="s">
        <v>281</v>
      </c>
      <c r="C101" s="476" t="s">
        <v>334</v>
      </c>
      <c r="D101" s="476" t="s">
        <v>853</v>
      </c>
      <c r="E101" s="479"/>
      <c r="F101" s="417" t="s">
        <v>279</v>
      </c>
      <c r="G101" s="704" t="s">
        <v>337</v>
      </c>
      <c r="H101" s="472" t="s">
        <v>26</v>
      </c>
      <c r="I101" s="474" t="s">
        <v>336</v>
      </c>
    </row>
    <row r="102" spans="2:9" ht="12.75">
      <c r="B102" s="478" t="s">
        <v>335</v>
      </c>
      <c r="C102" s="476" t="s">
        <v>332</v>
      </c>
      <c r="D102" s="476" t="s">
        <v>332</v>
      </c>
      <c r="E102" s="475" t="s">
        <v>332</v>
      </c>
      <c r="F102" s="417"/>
      <c r="G102" s="705" t="s">
        <v>333</v>
      </c>
      <c r="H102" s="476" t="s">
        <v>333</v>
      </c>
      <c r="I102" s="474" t="s">
        <v>331</v>
      </c>
    </row>
    <row r="103" spans="2:9" ht="12.75">
      <c r="B103" s="473"/>
      <c r="C103" s="918" t="s">
        <v>8</v>
      </c>
      <c r="D103" s="918" t="s">
        <v>8</v>
      </c>
      <c r="E103" s="531" t="s">
        <v>519</v>
      </c>
      <c r="F103" s="702" t="s">
        <v>393</v>
      </c>
      <c r="G103" s="706" t="s">
        <v>320</v>
      </c>
      <c r="H103" s="558" t="s">
        <v>377</v>
      </c>
      <c r="I103" s="471" t="s">
        <v>7</v>
      </c>
    </row>
    <row r="104" spans="2:9" ht="12.75">
      <c r="B104" s="470"/>
      <c r="C104" s="529" t="s">
        <v>10</v>
      </c>
      <c r="D104" s="529" t="s">
        <v>11</v>
      </c>
      <c r="E104" s="529" t="s">
        <v>837</v>
      </c>
      <c r="F104" s="702" t="s">
        <v>521</v>
      </c>
      <c r="G104" s="529" t="s">
        <v>16</v>
      </c>
      <c r="H104" s="558" t="s">
        <v>14</v>
      </c>
      <c r="I104" s="531" t="s">
        <v>9</v>
      </c>
    </row>
    <row r="105" spans="2:9" ht="12.75">
      <c r="B105" s="470">
        <v>1990</v>
      </c>
      <c r="C105" s="183">
        <v>4390.9119</v>
      </c>
      <c r="D105" s="183">
        <v>3758.2758235</v>
      </c>
      <c r="E105" s="709">
        <f aca="true" t="shared" si="3" ref="E105:E122">D105/I105</f>
        <v>1455.066155933857</v>
      </c>
      <c r="F105" s="457">
        <v>1699.999574120462</v>
      </c>
      <c r="G105" s="707">
        <v>1972.0185528613297</v>
      </c>
      <c r="H105" s="191">
        <v>1972</v>
      </c>
      <c r="I105" s="909">
        <v>2.58289</v>
      </c>
    </row>
    <row r="106" spans="2:9" ht="12.75">
      <c r="B106" s="470">
        <v>1991</v>
      </c>
      <c r="C106" s="183">
        <v>3836.28492</v>
      </c>
      <c r="D106" s="183">
        <v>3274.9553746</v>
      </c>
      <c r="E106" s="709">
        <f t="shared" si="3"/>
        <v>1211.1731942199795</v>
      </c>
      <c r="F106" s="451">
        <v>1429.140575115578</v>
      </c>
      <c r="G106" s="707">
        <v>1742.3110869378952</v>
      </c>
      <c r="H106" s="191" t="s">
        <v>26</v>
      </c>
      <c r="I106" s="910">
        <v>2.70395298560842</v>
      </c>
    </row>
    <row r="107" spans="2:9" ht="12.75">
      <c r="B107" s="470">
        <v>1992</v>
      </c>
      <c r="C107" s="183">
        <v>3393.16618319253</v>
      </c>
      <c r="D107" s="183">
        <v>2892.3345634615384</v>
      </c>
      <c r="E107" s="709">
        <f t="shared" si="3"/>
        <v>1058.2370193613415</v>
      </c>
      <c r="F107" s="451">
        <v>1250.2731022765906</v>
      </c>
      <c r="G107" s="707">
        <v>1561.111520519982</v>
      </c>
      <c r="H107" s="191" t="s">
        <v>390</v>
      </c>
      <c r="I107" s="910">
        <v>2.733163280573095</v>
      </c>
    </row>
    <row r="108" spans="2:9" ht="12.75">
      <c r="B108" s="470">
        <v>1993</v>
      </c>
      <c r="C108" s="183">
        <v>3325.676641618497</v>
      </c>
      <c r="D108" s="183">
        <v>2830.20472</v>
      </c>
      <c r="E108" s="709">
        <f t="shared" si="3"/>
        <v>1022.7362894987782</v>
      </c>
      <c r="F108" s="451">
        <v>1211.6898419543759</v>
      </c>
      <c r="G108" s="707">
        <v>1530.7812260899345</v>
      </c>
      <c r="H108" s="191" t="s">
        <v>391</v>
      </c>
      <c r="I108" s="910">
        <v>2.7672868842729974</v>
      </c>
    </row>
    <row r="109" spans="2:9" ht="12.75">
      <c r="B109" s="470">
        <v>1994</v>
      </c>
      <c r="C109" s="183">
        <v>3423.21102861272</v>
      </c>
      <c r="D109" s="183">
        <v>2907.939045</v>
      </c>
      <c r="E109" s="709">
        <f t="shared" si="3"/>
        <v>1036.1603726416947</v>
      </c>
      <c r="F109" s="451">
        <v>1230.61833720844</v>
      </c>
      <c r="G109" s="707">
        <v>1471.6504295934142</v>
      </c>
      <c r="H109" s="191" t="s">
        <v>392</v>
      </c>
      <c r="I109" s="910">
        <v>2.8064565310350544</v>
      </c>
    </row>
    <row r="110" spans="2:9" ht="12.75">
      <c r="B110" s="470">
        <v>1995</v>
      </c>
      <c r="C110" s="183">
        <v>3451.7447295953757</v>
      </c>
      <c r="D110" s="183">
        <v>2933.8338232</v>
      </c>
      <c r="E110" s="709">
        <f t="shared" si="3"/>
        <v>1028.8785563130723</v>
      </c>
      <c r="F110" s="451">
        <v>1222.488340733751</v>
      </c>
      <c r="G110" s="707">
        <v>1472.3840073099727</v>
      </c>
      <c r="H110" s="191"/>
      <c r="I110" s="910">
        <v>2.8514869954265802</v>
      </c>
    </row>
    <row r="111" spans="2:9" ht="12.75">
      <c r="B111" s="470">
        <v>1996</v>
      </c>
      <c r="C111" s="183">
        <v>3452.1773884393065</v>
      </c>
      <c r="D111" s="183">
        <v>2940.7927725</v>
      </c>
      <c r="E111" s="709">
        <f t="shared" si="3"/>
        <v>1015.5437674200732</v>
      </c>
      <c r="F111" s="451">
        <v>1203.2056143594118</v>
      </c>
      <c r="G111" s="707">
        <v>1506.4764825819493</v>
      </c>
      <c r="H111" s="209">
        <v>1466.7222364338318</v>
      </c>
      <c r="I111" s="910">
        <v>2.8957814196141483</v>
      </c>
    </row>
    <row r="112" spans="2:9" ht="12.75">
      <c r="B112" s="470">
        <v>1997</v>
      </c>
      <c r="C112" s="183">
        <v>3401.7724000000003</v>
      </c>
      <c r="D112" s="183">
        <v>2896.4407674999998</v>
      </c>
      <c r="E112" s="709">
        <f t="shared" si="3"/>
        <v>989.1420839114675</v>
      </c>
      <c r="F112" s="451">
        <v>1170.4499755709853</v>
      </c>
      <c r="G112" s="707">
        <v>1443.4606279977154</v>
      </c>
      <c r="H112" s="209">
        <v>1433.3701595025611</v>
      </c>
      <c r="I112" s="910">
        <v>2.928235300682287</v>
      </c>
    </row>
    <row r="113" spans="2:9" ht="12.75">
      <c r="B113" s="470">
        <v>1998</v>
      </c>
      <c r="C113" s="183">
        <v>3258.3284900000003</v>
      </c>
      <c r="D113" s="183">
        <v>2770.8092232500003</v>
      </c>
      <c r="E113" s="709">
        <f t="shared" si="3"/>
        <v>942.684186114451</v>
      </c>
      <c r="F113" s="451">
        <v>1111.5832801705758</v>
      </c>
      <c r="G113" s="707">
        <v>1376.885990618337</v>
      </c>
      <c r="H113" s="209">
        <v>1373.4663707336608</v>
      </c>
      <c r="I113" s="910">
        <v>2.9392762327653994</v>
      </c>
    </row>
    <row r="114" spans="2:9" ht="12.75">
      <c r="B114" s="470">
        <v>1999</v>
      </c>
      <c r="C114" s="183">
        <v>3115.06581</v>
      </c>
      <c r="D114" s="183">
        <v>2646.88139405</v>
      </c>
      <c r="E114" s="709">
        <f t="shared" si="3"/>
        <v>894.368748592135</v>
      </c>
      <c r="F114" s="451">
        <v>1060.6645817017943</v>
      </c>
      <c r="G114" s="707">
        <v>1318.6457012496169</v>
      </c>
      <c r="H114" s="209">
        <v>1321.4174253862122</v>
      </c>
      <c r="I114" s="910">
        <v>2.959496738025084</v>
      </c>
    </row>
    <row r="115" spans="2:9" ht="12.75">
      <c r="B115" s="470">
        <v>2000</v>
      </c>
      <c r="C115" s="183">
        <v>2845.12519</v>
      </c>
      <c r="D115" s="183">
        <v>2414.0420129</v>
      </c>
      <c r="E115" s="709">
        <f t="shared" si="3"/>
        <v>809.8539913085974</v>
      </c>
      <c r="F115" s="451">
        <v>959.8937887989202</v>
      </c>
      <c r="G115" s="707">
        <v>1355.178329959514</v>
      </c>
      <c r="H115" s="209">
        <v>1165.6959502655166</v>
      </c>
      <c r="I115" s="910">
        <v>2.98083609984966</v>
      </c>
    </row>
    <row r="116" spans="2:9" ht="12.75">
      <c r="B116" s="470">
        <v>2001</v>
      </c>
      <c r="C116" s="183">
        <v>2580.22928</v>
      </c>
      <c r="D116" s="183">
        <v>2186.3329549000005</v>
      </c>
      <c r="E116" s="709">
        <f t="shared" si="3"/>
        <v>726.9489648816588</v>
      </c>
      <c r="F116" s="451">
        <v>867.4497495377375</v>
      </c>
      <c r="G116" s="707">
        <v>1143.6349571356532</v>
      </c>
      <c r="H116" s="209">
        <v>1084.5192156792498</v>
      </c>
      <c r="I116" s="910">
        <v>3.0075466924365415</v>
      </c>
    </row>
    <row r="117" spans="2:9" ht="12.75">
      <c r="B117" s="470">
        <v>2002</v>
      </c>
      <c r="C117" s="183">
        <v>2754.6375599999997</v>
      </c>
      <c r="D117" s="183">
        <v>2334.2734123</v>
      </c>
      <c r="E117" s="709">
        <f t="shared" si="3"/>
        <v>762.5554528358599</v>
      </c>
      <c r="F117" s="451">
        <v>915.7826433862151</v>
      </c>
      <c r="G117" s="707">
        <v>1210.9646105666297</v>
      </c>
      <c r="H117" s="209">
        <v>1101.4052355220517</v>
      </c>
      <c r="I117" s="910">
        <v>3.0611195600517886</v>
      </c>
    </row>
    <row r="118" spans="2:9" ht="12.75">
      <c r="B118" s="467">
        <v>2003</v>
      </c>
      <c r="C118" s="183">
        <v>2539.4472</v>
      </c>
      <c r="D118" s="183">
        <v>2144.4634945</v>
      </c>
      <c r="E118" s="709">
        <f t="shared" si="3"/>
        <v>686.0219628335796</v>
      </c>
      <c r="F118" s="451">
        <f>C118/I118</f>
        <v>812.3787404748653</v>
      </c>
      <c r="G118" s="707">
        <f>3175/3.12594</f>
        <v>1015.6944791006865</v>
      </c>
      <c r="H118" s="209">
        <v>1090.2320581968943</v>
      </c>
      <c r="I118" s="910">
        <v>3.12594</v>
      </c>
    </row>
    <row r="119" spans="2:9" ht="12.75">
      <c r="B119" s="467">
        <v>2004</v>
      </c>
      <c r="C119" s="183">
        <v>2521</v>
      </c>
      <c r="D119" s="183">
        <v>2143</v>
      </c>
      <c r="E119" s="709">
        <f t="shared" si="3"/>
        <v>674.3234738829452</v>
      </c>
      <c r="F119" s="451">
        <f>2521/I119</f>
        <v>793.2662051604783</v>
      </c>
      <c r="G119" s="707">
        <f>3177.5/I119</f>
        <v>999.842668344871</v>
      </c>
      <c r="H119" s="209">
        <v>991.354049716803</v>
      </c>
      <c r="I119" s="910">
        <v>3.178</v>
      </c>
    </row>
    <row r="120" spans="2:9" ht="12.75">
      <c r="B120" s="467">
        <v>2005</v>
      </c>
      <c r="C120" s="183">
        <v>2513</v>
      </c>
      <c r="D120" s="183">
        <v>2122</v>
      </c>
      <c r="E120" s="709">
        <f t="shared" si="3"/>
        <v>658.8036597443643</v>
      </c>
      <c r="F120" s="451">
        <f>C120/I120</f>
        <v>780.1949090186557</v>
      </c>
      <c r="G120" s="707">
        <v>1038</v>
      </c>
      <c r="H120" s="209">
        <v>996.8363763935934</v>
      </c>
      <c r="I120" s="910">
        <v>3.22099</v>
      </c>
    </row>
    <row r="121" spans="2:9" ht="12.75">
      <c r="B121" s="467">
        <v>2006</v>
      </c>
      <c r="C121" s="183">
        <v>2542.9</v>
      </c>
      <c r="D121" s="183">
        <v>2143.1</v>
      </c>
      <c r="E121" s="709">
        <f t="shared" si="3"/>
        <v>656.0905197353718</v>
      </c>
      <c r="F121" s="1006">
        <f>C121/I121</f>
        <v>778.4856435234367</v>
      </c>
      <c r="G121" s="708">
        <f>(G259+G169+G86)/I121</f>
        <v>1022.510538899791</v>
      </c>
      <c r="H121" s="209">
        <v>976</v>
      </c>
      <c r="I121" s="911">
        <v>3.26647</v>
      </c>
    </row>
    <row r="122" spans="2:9" ht="12.75">
      <c r="B122" s="467">
        <v>2007</v>
      </c>
      <c r="C122" s="183">
        <v>2506</v>
      </c>
      <c r="D122" s="183">
        <v>2101.8</v>
      </c>
      <c r="E122" s="709">
        <f t="shared" si="3"/>
        <v>628.8371091085342</v>
      </c>
      <c r="F122" s="1006">
        <v>750</v>
      </c>
      <c r="G122" s="708">
        <f>(G260+G170+G87)/I122</f>
        <v>1007.9404971337617</v>
      </c>
      <c r="H122" s="178">
        <v>944</v>
      </c>
      <c r="I122" s="911">
        <v>3.34236</v>
      </c>
    </row>
    <row r="123" spans="2:9" ht="12.75">
      <c r="B123" s="467">
        <v>2008</v>
      </c>
      <c r="C123" s="183"/>
      <c r="D123" s="183"/>
      <c r="E123" s="709"/>
      <c r="F123" s="1006"/>
      <c r="G123" s="708">
        <f>(G261+G171+G87)/I123</f>
        <v>1017.2283270839001</v>
      </c>
      <c r="H123" s="205"/>
      <c r="I123" s="911">
        <v>3.38164</v>
      </c>
    </row>
    <row r="124" spans="2:9" ht="12.75">
      <c r="B124" s="467">
        <v>2009</v>
      </c>
      <c r="C124" s="183">
        <v>2457</v>
      </c>
      <c r="D124" s="183">
        <v>2073</v>
      </c>
      <c r="E124" s="709">
        <f>D124/I124</f>
        <v>604.9375510680518</v>
      </c>
      <c r="F124" s="451">
        <f>C124/I124</f>
        <v>716.9954476479514</v>
      </c>
      <c r="G124" s="708">
        <f>(G262+G172+G88)/I124</f>
        <v>965.8573596358119</v>
      </c>
      <c r="H124" s="209">
        <v>961</v>
      </c>
      <c r="I124" s="911">
        <v>3.4268</v>
      </c>
    </row>
    <row r="125" spans="2:9" ht="12.75">
      <c r="B125" s="467">
        <v>2010</v>
      </c>
      <c r="C125" s="183">
        <v>2342</v>
      </c>
      <c r="D125" s="183">
        <v>1978</v>
      </c>
      <c r="E125" s="709">
        <f>D125/I125</f>
        <v>569.0907207715236</v>
      </c>
      <c r="F125" s="451">
        <f>C125/I125</f>
        <v>673.8172234817534</v>
      </c>
      <c r="G125" s="661" t="s">
        <v>811</v>
      </c>
      <c r="H125" s="198">
        <f>(G263+G173+G89)/I125</f>
        <v>865.9555430241792</v>
      </c>
      <c r="I125" s="911">
        <v>3.47572</v>
      </c>
    </row>
    <row r="126" spans="2:9" ht="12.75">
      <c r="B126" s="467">
        <v>2011</v>
      </c>
      <c r="C126" s="178">
        <v>2125.6</v>
      </c>
      <c r="D126" s="183">
        <v>1797</v>
      </c>
      <c r="E126" s="709">
        <f>D126/I126</f>
        <v>511.51404742250435</v>
      </c>
      <c r="F126" s="1007">
        <f>C126/I126</f>
        <v>605.0496712305371</v>
      </c>
      <c r="G126" s="661" t="s">
        <v>812</v>
      </c>
      <c r="H126" s="198">
        <f>(H219+G174+G90+E264)/I126</f>
        <v>778.9021092482424</v>
      </c>
      <c r="I126" s="912">
        <v>3.5131</v>
      </c>
    </row>
    <row r="127" spans="2:9" ht="12.75">
      <c r="B127" s="467">
        <v>2012</v>
      </c>
      <c r="C127" s="187">
        <v>2086.6</v>
      </c>
      <c r="D127" s="1009">
        <v>1765</v>
      </c>
      <c r="E127" s="781">
        <f>D127/I127</f>
        <v>498.12321846865916</v>
      </c>
      <c r="F127" s="1008">
        <f>C127/I127</f>
        <v>588.8860666610223</v>
      </c>
      <c r="G127" s="1002" t="s">
        <v>813</v>
      </c>
      <c r="H127" s="198">
        <f>(H220+G175+G91+E265)/I127</f>
        <v>741.4557051336325</v>
      </c>
      <c r="I127" s="938">
        <v>3.5433</v>
      </c>
    </row>
    <row r="128" spans="2:9" ht="12.75">
      <c r="B128" s="466" t="s">
        <v>729</v>
      </c>
      <c r="C128" s="465">
        <f>(C127-C126)/C126</f>
        <v>-0.01834776063229206</v>
      </c>
      <c r="D128" s="1010">
        <f aca="true" t="shared" si="4" ref="D128:I128">(D127-D126)/D126</f>
        <v>-0.017807456872565387</v>
      </c>
      <c r="E128" s="465">
        <f t="shared" si="4"/>
        <v>-0.026178809792851154</v>
      </c>
      <c r="F128" s="465">
        <f t="shared" si="4"/>
        <v>-0.026714508474389657</v>
      </c>
      <c r="G128" s="465"/>
      <c r="H128" s="465">
        <f t="shared" si="4"/>
        <v>-0.048075879715810885</v>
      </c>
      <c r="I128" s="465">
        <f t="shared" si="4"/>
        <v>0.008596396345108247</v>
      </c>
    </row>
    <row r="129" spans="2:9" ht="12.75">
      <c r="B129" s="464" t="s">
        <v>796</v>
      </c>
      <c r="C129" s="463">
        <f>(C127-C105)/C105</f>
        <v>-0.5247911942847225</v>
      </c>
      <c r="D129" s="1011">
        <f aca="true" t="shared" si="5" ref="D129:I129">(D127-D105)/D105</f>
        <v>-0.5303697538739203</v>
      </c>
      <c r="E129" s="463">
        <f t="shared" si="5"/>
        <v>-0.6576628379147715</v>
      </c>
      <c r="F129" s="463">
        <f t="shared" si="5"/>
        <v>-0.6535963445957348</v>
      </c>
      <c r="G129" s="463"/>
      <c r="H129" s="463">
        <f t="shared" si="5"/>
        <v>-0.6240082631168193</v>
      </c>
      <c r="I129" s="463">
        <f t="shared" si="5"/>
        <v>0.37183542465997393</v>
      </c>
    </row>
    <row r="130" spans="2:9" ht="12.75">
      <c r="B130" s="1003"/>
      <c r="C130" s="3"/>
      <c r="D130" s="3"/>
      <c r="E130" s="3"/>
      <c r="F130" s="3"/>
      <c r="G130" s="3"/>
      <c r="H130" s="3"/>
      <c r="I130" s="3"/>
    </row>
    <row r="131" ht="12.75">
      <c r="A131" s="1005" t="s">
        <v>313</v>
      </c>
    </row>
    <row r="132" spans="1:7" ht="12.75">
      <c r="A132" s="442" t="s">
        <v>10</v>
      </c>
      <c r="B132" s="208" t="s">
        <v>485</v>
      </c>
      <c r="C132" s="208"/>
      <c r="D132" s="208"/>
      <c r="E132" s="208"/>
      <c r="F132" s="208"/>
      <c r="G132" s="208"/>
    </row>
    <row r="133" spans="1:10" ht="12.75">
      <c r="A133" s="190" t="s">
        <v>11</v>
      </c>
      <c r="B133" t="s">
        <v>484</v>
      </c>
      <c r="J133" s="4"/>
    </row>
    <row r="134" spans="1:9" ht="12.75">
      <c r="A134" s="190" t="s">
        <v>12</v>
      </c>
      <c r="B134" t="s">
        <v>518</v>
      </c>
      <c r="I134" t="s">
        <v>516</v>
      </c>
    </row>
    <row r="135" spans="1:2" ht="12.75">
      <c r="A135" s="190" t="s">
        <v>13</v>
      </c>
      <c r="B135" t="s">
        <v>488</v>
      </c>
    </row>
    <row r="136" spans="1:2" ht="12.75">
      <c r="A136" s="700" t="s">
        <v>16</v>
      </c>
      <c r="B136" t="s">
        <v>585</v>
      </c>
    </row>
    <row r="137" spans="1:7" ht="12.75">
      <c r="A137" s="190" t="s">
        <v>9</v>
      </c>
      <c r="B137" s="208" t="s">
        <v>378</v>
      </c>
      <c r="C137" s="208"/>
      <c r="D137" s="208"/>
      <c r="E137" s="208"/>
      <c r="G137" t="s">
        <v>554</v>
      </c>
    </row>
    <row r="138" spans="2:9" ht="12.75">
      <c r="B138" s="208" t="s">
        <v>380</v>
      </c>
      <c r="C138" s="208"/>
      <c r="D138" s="208"/>
      <c r="E138" s="208"/>
      <c r="F138" s="208"/>
      <c r="G138" s="208"/>
      <c r="H138" s="208"/>
      <c r="I138" s="208"/>
    </row>
    <row r="139" spans="1:8" ht="12.75">
      <c r="A139" s="190"/>
      <c r="B139" s="208" t="s">
        <v>379</v>
      </c>
      <c r="C139" s="208"/>
      <c r="D139" s="208"/>
      <c r="E139" s="208"/>
      <c r="F139" s="208"/>
      <c r="G139" s="555"/>
      <c r="H139" s="208"/>
    </row>
    <row r="141" spans="1:8" ht="12.75">
      <c r="A141" s="1004" t="s">
        <v>583</v>
      </c>
      <c r="B141" s="208" t="s">
        <v>381</v>
      </c>
      <c r="C141" s="208"/>
      <c r="D141" s="208"/>
      <c r="E141" s="208"/>
      <c r="F141" s="208"/>
      <c r="G141" s="208"/>
      <c r="H141" s="208"/>
    </row>
    <row r="142" spans="1:6" ht="12.75">
      <c r="A142" s="4"/>
      <c r="B142" s="208" t="s">
        <v>388</v>
      </c>
      <c r="C142" s="208"/>
      <c r="D142" s="208"/>
      <c r="E142" s="208"/>
      <c r="F142" s="208"/>
    </row>
    <row r="143" spans="2:6" ht="12.75">
      <c r="B143" s="208" t="s">
        <v>851</v>
      </c>
      <c r="C143" s="208"/>
      <c r="D143" s="208"/>
      <c r="E143" s="208"/>
      <c r="F143" s="208"/>
    </row>
    <row r="144" ht="12.75">
      <c r="A144" s="4"/>
    </row>
    <row r="145" spans="1:3" ht="12.75">
      <c r="A145" s="4"/>
      <c r="B145" s="4"/>
      <c r="C145" s="4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462" t="s">
        <v>805</v>
      </c>
      <c r="B147" s="462"/>
      <c r="C147" s="461"/>
      <c r="D147" s="461"/>
      <c r="E147" s="461"/>
      <c r="F147" s="461"/>
      <c r="G147" s="460"/>
      <c r="H147" s="54"/>
      <c r="I147" s="459"/>
      <c r="J147" s="458"/>
    </row>
    <row r="148" spans="1:10" ht="12.75">
      <c r="A148" s="563" t="s">
        <v>5</v>
      </c>
      <c r="B148" s="564" t="s">
        <v>288</v>
      </c>
      <c r="C148" s="564" t="s">
        <v>288</v>
      </c>
      <c r="D148" s="564" t="s">
        <v>288</v>
      </c>
      <c r="E148" s="564" t="s">
        <v>288</v>
      </c>
      <c r="F148" s="565" t="s">
        <v>299</v>
      </c>
      <c r="G148" s="564" t="s">
        <v>329</v>
      </c>
      <c r="H148" s="564" t="s">
        <v>299</v>
      </c>
      <c r="I148" s="566" t="s">
        <v>330</v>
      </c>
      <c r="J148" s="567" t="s">
        <v>329</v>
      </c>
    </row>
    <row r="149" spans="1:10" ht="12.75">
      <c r="A149" s="568" t="s">
        <v>281</v>
      </c>
      <c r="B149" s="569" t="s">
        <v>328</v>
      </c>
      <c r="C149" s="569" t="s">
        <v>328</v>
      </c>
      <c r="D149" s="569" t="s">
        <v>328</v>
      </c>
      <c r="E149" s="569" t="s">
        <v>328</v>
      </c>
      <c r="F149" s="570" t="s">
        <v>327</v>
      </c>
      <c r="G149" s="571" t="s">
        <v>325</v>
      </c>
      <c r="H149" s="569" t="s">
        <v>326</v>
      </c>
      <c r="I149" s="572" t="s">
        <v>326</v>
      </c>
      <c r="J149" s="573" t="s">
        <v>325</v>
      </c>
    </row>
    <row r="150" spans="1:10" ht="12.75">
      <c r="A150" s="568" t="s">
        <v>277</v>
      </c>
      <c r="B150" s="569" t="s">
        <v>0</v>
      </c>
      <c r="C150" s="574" t="s">
        <v>1</v>
      </c>
      <c r="D150" s="569" t="s">
        <v>238</v>
      </c>
      <c r="E150" s="571" t="s">
        <v>324</v>
      </c>
      <c r="F150" s="570" t="s">
        <v>236</v>
      </c>
      <c r="G150" s="571" t="s">
        <v>321</v>
      </c>
      <c r="H150" s="569" t="s">
        <v>323</v>
      </c>
      <c r="I150" s="575" t="s">
        <v>298</v>
      </c>
      <c r="J150" s="570" t="s">
        <v>321</v>
      </c>
    </row>
    <row r="151" spans="1:10" ht="12.75">
      <c r="A151" s="576"/>
      <c r="B151" s="577" t="s">
        <v>8</v>
      </c>
      <c r="C151" s="577" t="s">
        <v>8</v>
      </c>
      <c r="D151" s="577" t="s">
        <v>8</v>
      </c>
      <c r="E151" s="568"/>
      <c r="F151" s="578" t="s">
        <v>8</v>
      </c>
      <c r="G151" s="579" t="s">
        <v>7</v>
      </c>
      <c r="H151" s="577" t="s">
        <v>4</v>
      </c>
      <c r="I151" s="580"/>
      <c r="J151" s="573" t="s">
        <v>320</v>
      </c>
    </row>
    <row r="152" spans="1:10" ht="12.75">
      <c r="A152" s="568"/>
      <c r="B152" s="569" t="s">
        <v>10</v>
      </c>
      <c r="C152" s="569" t="s">
        <v>11</v>
      </c>
      <c r="D152" s="569" t="s">
        <v>12</v>
      </c>
      <c r="E152" s="581" t="s">
        <v>13</v>
      </c>
      <c r="F152" s="570" t="s">
        <v>302</v>
      </c>
      <c r="G152" s="569" t="s">
        <v>14</v>
      </c>
      <c r="H152" s="569" t="s">
        <v>319</v>
      </c>
      <c r="I152" s="572" t="s">
        <v>821</v>
      </c>
      <c r="J152" s="582" t="s">
        <v>318</v>
      </c>
    </row>
    <row r="153" spans="1:10" ht="12.75">
      <c r="A153" s="412">
        <v>1990</v>
      </c>
      <c r="B153" s="410">
        <v>2744.697</v>
      </c>
      <c r="C153" s="410">
        <v>1024.377</v>
      </c>
      <c r="D153" s="410" t="s">
        <v>317</v>
      </c>
      <c r="E153" s="410" t="s">
        <v>316</v>
      </c>
      <c r="F153" s="457">
        <v>3770.3239</v>
      </c>
      <c r="G153" s="456">
        <v>4489</v>
      </c>
      <c r="H153" s="455">
        <v>0.839902851414569</v>
      </c>
      <c r="I153" s="454">
        <f aca="true" t="shared" si="6" ref="I153:I167">F153/I105</f>
        <v>1459.7307279829959</v>
      </c>
      <c r="J153" s="662">
        <f aca="true" t="shared" si="7" ref="J153:J175">G153/I105</f>
        <v>1737.975678406746</v>
      </c>
    </row>
    <row r="154" spans="1:10" ht="12.75">
      <c r="A154" s="380">
        <v>1991</v>
      </c>
      <c r="B154" s="398">
        <v>2271.04</v>
      </c>
      <c r="C154" s="398">
        <v>879.219</v>
      </c>
      <c r="D154" s="398" t="s">
        <v>316</v>
      </c>
      <c r="E154" s="398" t="s">
        <v>316</v>
      </c>
      <c r="F154" s="451">
        <v>3150.259</v>
      </c>
      <c r="G154" s="448">
        <v>4014</v>
      </c>
      <c r="H154" s="452">
        <v>0.7848178873941206</v>
      </c>
      <c r="I154" s="450">
        <f t="shared" si="6"/>
        <v>1165.0568692455117</v>
      </c>
      <c r="J154" s="663">
        <f t="shared" si="7"/>
        <v>1484.4932664747514</v>
      </c>
    </row>
    <row r="155" spans="1:10" ht="12.75">
      <c r="A155" s="380">
        <v>1992</v>
      </c>
      <c r="B155" s="398">
        <v>2030.363</v>
      </c>
      <c r="C155" s="398">
        <v>666.332</v>
      </c>
      <c r="D155" s="398">
        <v>31.935260115606937</v>
      </c>
      <c r="E155" s="398" t="s">
        <v>316</v>
      </c>
      <c r="F155" s="451">
        <v>2728.630260115607</v>
      </c>
      <c r="G155" s="448">
        <v>3466</v>
      </c>
      <c r="H155" s="452">
        <v>0.7872562781637643</v>
      </c>
      <c r="I155" s="450">
        <f t="shared" si="6"/>
        <v>998.3414746972096</v>
      </c>
      <c r="J155" s="663">
        <f t="shared" si="7"/>
        <v>1268.127676321351</v>
      </c>
    </row>
    <row r="156" spans="1:10" ht="12.75">
      <c r="A156" s="380">
        <v>1993</v>
      </c>
      <c r="B156" s="398">
        <v>1973.006</v>
      </c>
      <c r="C156" s="398">
        <v>572.448</v>
      </c>
      <c r="D156" s="398">
        <v>47.49364161849711</v>
      </c>
      <c r="E156" s="398" t="s">
        <v>316</v>
      </c>
      <c r="F156" s="451">
        <v>2592.947641618497</v>
      </c>
      <c r="G156" s="448">
        <v>3381</v>
      </c>
      <c r="H156" s="452">
        <v>0.7669173740368226</v>
      </c>
      <c r="I156" s="450">
        <f t="shared" si="6"/>
        <v>936.9999389491193</v>
      </c>
      <c r="J156" s="663">
        <f t="shared" si="7"/>
        <v>1221.7743014700961</v>
      </c>
    </row>
    <row r="157" spans="1:10" ht="12.75">
      <c r="A157" s="380">
        <v>1994</v>
      </c>
      <c r="B157" s="398">
        <v>1873.898</v>
      </c>
      <c r="C157" s="398">
        <v>667.803</v>
      </c>
      <c r="D157" s="398">
        <v>55.766878612716766</v>
      </c>
      <c r="E157" s="398" t="s">
        <v>316</v>
      </c>
      <c r="F157" s="451">
        <v>2597.467878612717</v>
      </c>
      <c r="G157" s="448">
        <v>3396</v>
      </c>
      <c r="H157" s="452">
        <v>0.7648609772122252</v>
      </c>
      <c r="I157" s="450">
        <f t="shared" si="6"/>
        <v>925.5329095208683</v>
      </c>
      <c r="J157" s="663">
        <f t="shared" si="7"/>
        <v>1210.0668449503883</v>
      </c>
    </row>
    <row r="158" spans="1:10" ht="12.75">
      <c r="A158" s="380">
        <v>1995</v>
      </c>
      <c r="B158" s="398">
        <v>1861.682</v>
      </c>
      <c r="C158" s="398">
        <v>703.378</v>
      </c>
      <c r="D158" s="398">
        <v>57.00271676300578</v>
      </c>
      <c r="E158" s="398">
        <v>13.413872832369941</v>
      </c>
      <c r="F158" s="451">
        <v>2635.4765895953756</v>
      </c>
      <c r="G158" s="448">
        <v>3338</v>
      </c>
      <c r="H158" s="452">
        <v>0.7719615083759156</v>
      </c>
      <c r="I158" s="450">
        <f t="shared" si="6"/>
        <v>924.246399798541</v>
      </c>
      <c r="J158" s="663">
        <f t="shared" si="7"/>
        <v>1170.6172973447624</v>
      </c>
    </row>
    <row r="159" spans="1:10" ht="12.75">
      <c r="A159" s="380">
        <v>1996</v>
      </c>
      <c r="B159" s="398">
        <v>1939.169</v>
      </c>
      <c r="C159" s="398">
        <v>730.1251</v>
      </c>
      <c r="D159" s="398">
        <v>68.93398843930636</v>
      </c>
      <c r="E159" s="398">
        <v>8.2284</v>
      </c>
      <c r="F159" s="451">
        <v>2746.456488439306</v>
      </c>
      <c r="G159" s="448">
        <v>3660</v>
      </c>
      <c r="H159" s="452">
        <v>0.7503979476610126</v>
      </c>
      <c r="I159" s="450">
        <f t="shared" si="6"/>
        <v>948.4336317087292</v>
      </c>
      <c r="J159" s="663">
        <f t="shared" si="7"/>
        <v>1263.9075502071842</v>
      </c>
    </row>
    <row r="160" spans="1:10" ht="12.75">
      <c r="A160" s="380">
        <v>1997</v>
      </c>
      <c r="B160" s="398">
        <v>1866.44</v>
      </c>
      <c r="C160" s="398">
        <v>709.893</v>
      </c>
      <c r="D160" s="398">
        <v>87.4147</v>
      </c>
      <c r="E160" s="398">
        <v>7.6986</v>
      </c>
      <c r="F160" s="451">
        <v>2671.4463</v>
      </c>
      <c r="G160" s="448">
        <v>3449</v>
      </c>
      <c r="H160" s="452">
        <v>0.7745567700782836</v>
      </c>
      <c r="I160" s="450">
        <f t="shared" si="6"/>
        <v>912.3058858615445</v>
      </c>
      <c r="J160" s="663">
        <f t="shared" si="7"/>
        <v>1177.8425043903997</v>
      </c>
    </row>
    <row r="161" spans="1:10" ht="12.75">
      <c r="A161" s="380">
        <v>1998</v>
      </c>
      <c r="B161" s="398">
        <v>1705</v>
      </c>
      <c r="C161" s="398">
        <v>681.6</v>
      </c>
      <c r="D161" s="398">
        <v>108.4113</v>
      </c>
      <c r="E161" s="398">
        <v>7.13603</v>
      </c>
      <c r="F161" s="451">
        <v>2502.1473300000002</v>
      </c>
      <c r="G161" s="453">
        <v>3263</v>
      </c>
      <c r="H161" s="452">
        <v>0.7668241893962612</v>
      </c>
      <c r="I161" s="450">
        <f t="shared" si="6"/>
        <v>851.2800879711366</v>
      </c>
      <c r="J161" s="663">
        <f t="shared" si="7"/>
        <v>1110.1372384214555</v>
      </c>
    </row>
    <row r="162" spans="1:10" ht="12.75">
      <c r="A162" s="380">
        <v>1999</v>
      </c>
      <c r="B162" s="398">
        <v>1622.127</v>
      </c>
      <c r="C162" s="398">
        <v>630.716</v>
      </c>
      <c r="D162" s="398">
        <v>100.569</v>
      </c>
      <c r="E162" s="398">
        <v>4.88925</v>
      </c>
      <c r="F162" s="451">
        <v>2358.30125</v>
      </c>
      <c r="G162" s="453">
        <v>3119</v>
      </c>
      <c r="H162" s="452">
        <v>0.7561081276050016</v>
      </c>
      <c r="I162" s="450">
        <f t="shared" si="6"/>
        <v>796.8588779637342</v>
      </c>
      <c r="J162" s="663">
        <f t="shared" si="7"/>
        <v>1053.8954005002063</v>
      </c>
    </row>
    <row r="163" spans="1:10" ht="12.75">
      <c r="A163" s="380">
        <v>2000</v>
      </c>
      <c r="B163" s="398">
        <v>1593.071</v>
      </c>
      <c r="C163" s="398">
        <v>385.794</v>
      </c>
      <c r="D163" s="398">
        <v>108.1058</v>
      </c>
      <c r="E163" s="398">
        <v>4.58282</v>
      </c>
      <c r="F163" s="451">
        <v>2091.5536199999997</v>
      </c>
      <c r="G163" s="453">
        <v>3152</v>
      </c>
      <c r="H163" s="452">
        <v>0.6635639657360405</v>
      </c>
      <c r="I163" s="450">
        <f t="shared" si="6"/>
        <v>701.6667639342828</v>
      </c>
      <c r="J163" s="663">
        <f t="shared" si="7"/>
        <v>1057.4214396286238</v>
      </c>
    </row>
    <row r="164" spans="1:10" ht="12.75">
      <c r="A164" s="380">
        <v>2001</v>
      </c>
      <c r="B164" s="398">
        <v>1424.91</v>
      </c>
      <c r="C164" s="398">
        <v>318.743</v>
      </c>
      <c r="D164" s="398">
        <v>108.5542</v>
      </c>
      <c r="E164" s="398">
        <v>8.9169</v>
      </c>
      <c r="F164" s="451">
        <v>1861.1241</v>
      </c>
      <c r="G164" s="448">
        <v>2608</v>
      </c>
      <c r="H164" s="452">
        <v>0.7136212039877301</v>
      </c>
      <c r="I164" s="450">
        <f t="shared" si="6"/>
        <v>618.8180235673163</v>
      </c>
      <c r="J164" s="663">
        <f t="shared" si="7"/>
        <v>867.1519569616884</v>
      </c>
    </row>
    <row r="165" spans="1:10" ht="12.75">
      <c r="A165" s="380">
        <v>2002</v>
      </c>
      <c r="B165" s="398">
        <v>1518.666</v>
      </c>
      <c r="C165" s="398">
        <v>343.005</v>
      </c>
      <c r="D165" s="398">
        <v>114.786</v>
      </c>
      <c r="E165" s="398">
        <v>11.7512</v>
      </c>
      <c r="F165" s="451">
        <v>1988.2081999999998</v>
      </c>
      <c r="G165" s="448">
        <v>2817</v>
      </c>
      <c r="H165" s="452">
        <v>0.7057892083777068</v>
      </c>
      <c r="I165" s="450">
        <f t="shared" si="6"/>
        <v>649.5036084008306</v>
      </c>
      <c r="J165" s="663">
        <f t="shared" si="7"/>
        <v>920.2515435079384</v>
      </c>
    </row>
    <row r="166" spans="1:10" ht="12.75">
      <c r="A166" s="380">
        <v>2003</v>
      </c>
      <c r="B166" s="398">
        <v>1300.011</v>
      </c>
      <c r="C166" s="398">
        <v>303.846</v>
      </c>
      <c r="D166" s="398">
        <v>106.1986</v>
      </c>
      <c r="E166" s="398">
        <v>9.719700000000001</v>
      </c>
      <c r="F166" s="451">
        <v>1719.7753</v>
      </c>
      <c r="G166" s="448">
        <v>2367</v>
      </c>
      <c r="H166" s="452">
        <v>0.7265632868610055</v>
      </c>
      <c r="I166" s="450">
        <f t="shared" si="6"/>
        <v>550.162607087788</v>
      </c>
      <c r="J166" s="663">
        <f t="shared" si="7"/>
        <v>757.2122305610472</v>
      </c>
    </row>
    <row r="167" spans="1:10" ht="12.75">
      <c r="A167" s="380">
        <v>2004</v>
      </c>
      <c r="B167" s="398">
        <v>1291.46</v>
      </c>
      <c r="C167" s="398">
        <v>285.111</v>
      </c>
      <c r="D167" s="398">
        <v>101.525</v>
      </c>
      <c r="E167" s="398">
        <v>11</v>
      </c>
      <c r="F167" s="451">
        <f>SUM(B167:E167)</f>
        <v>1689.096</v>
      </c>
      <c r="G167" s="448">
        <v>2320</v>
      </c>
      <c r="H167" s="449">
        <f>F167/G167</f>
        <v>0.7280586206896552</v>
      </c>
      <c r="I167" s="450">
        <f t="shared" si="6"/>
        <v>531.4965387035871</v>
      </c>
      <c r="J167" s="663">
        <f t="shared" si="7"/>
        <v>730.0188797986154</v>
      </c>
    </row>
    <row r="168" spans="1:10" ht="12.75">
      <c r="A168" s="380">
        <v>2005</v>
      </c>
      <c r="B168" s="398">
        <v>1280</v>
      </c>
      <c r="C168" s="398">
        <v>284</v>
      </c>
      <c r="D168" s="398">
        <v>93</v>
      </c>
      <c r="E168" s="398">
        <v>22</v>
      </c>
      <c r="F168" s="451">
        <v>1679</v>
      </c>
      <c r="G168" s="448">
        <v>2436</v>
      </c>
      <c r="H168" s="449">
        <f aca="true" t="shared" si="8" ref="H168:H175">F168/G168</f>
        <v>0.6892446633825944</v>
      </c>
      <c r="I168" s="450">
        <f>F168/3.221</f>
        <v>521.2666873641726</v>
      </c>
      <c r="J168" s="663">
        <f t="shared" si="7"/>
        <v>756.2892154275548</v>
      </c>
    </row>
    <row r="169" spans="1:10" ht="12.75">
      <c r="A169" s="380">
        <v>2006</v>
      </c>
      <c r="B169" s="398">
        <v>1295.86</v>
      </c>
      <c r="C169" s="398">
        <v>281.532</v>
      </c>
      <c r="D169" s="398">
        <v>104.289</v>
      </c>
      <c r="E169" s="398">
        <v>19.6599</v>
      </c>
      <c r="F169" s="451">
        <f>SUM(B169:E169)</f>
        <v>1701.3409</v>
      </c>
      <c r="G169" s="448">
        <v>2439</v>
      </c>
      <c r="H169" s="449">
        <f t="shared" si="8"/>
        <v>0.6975567445674457</v>
      </c>
      <c r="I169" s="450">
        <f>F169/I121</f>
        <v>520.8500001530704</v>
      </c>
      <c r="J169" s="663">
        <f t="shared" si="7"/>
        <v>746.6776061007755</v>
      </c>
    </row>
    <row r="170" spans="1:10" ht="12.75">
      <c r="A170" s="380">
        <v>2007</v>
      </c>
      <c r="B170" s="178">
        <v>1262.572</v>
      </c>
      <c r="C170" s="398">
        <v>292</v>
      </c>
      <c r="D170" s="398">
        <v>105</v>
      </c>
      <c r="E170" s="398">
        <v>21</v>
      </c>
      <c r="F170" s="451">
        <v>1681</v>
      </c>
      <c r="G170" s="448">
        <v>2445</v>
      </c>
      <c r="H170" s="449">
        <f t="shared" si="8"/>
        <v>0.6875255623721881</v>
      </c>
      <c r="I170" s="450">
        <f>F170/I122</f>
        <v>502.9380437774506</v>
      </c>
      <c r="J170" s="663">
        <f t="shared" si="7"/>
        <v>731.5190464222884</v>
      </c>
    </row>
    <row r="171" spans="1:10" ht="12.75">
      <c r="A171" s="380">
        <v>2008</v>
      </c>
      <c r="B171" s="178"/>
      <c r="C171" s="398"/>
      <c r="D171" s="398"/>
      <c r="E171" s="398"/>
      <c r="F171" s="451"/>
      <c r="G171" s="448">
        <v>2550</v>
      </c>
      <c r="H171" s="449"/>
      <c r="I171" s="448"/>
      <c r="J171" s="782">
        <f t="shared" si="7"/>
        <v>754.0719887391916</v>
      </c>
    </row>
    <row r="172" spans="1:10" ht="12.75">
      <c r="A172" s="380">
        <v>2009</v>
      </c>
      <c r="B172" s="178">
        <v>1187.366</v>
      </c>
      <c r="C172" s="398">
        <v>293.816</v>
      </c>
      <c r="D172" s="398">
        <v>122.051</v>
      </c>
      <c r="E172" s="398">
        <v>27.833</v>
      </c>
      <c r="F172" s="451">
        <v>1632</v>
      </c>
      <c r="G172" s="561">
        <v>2436</v>
      </c>
      <c r="H172" s="449">
        <f t="shared" si="8"/>
        <v>0.6699507389162561</v>
      </c>
      <c r="I172" s="448">
        <f>F172/I124</f>
        <v>476.24606046457336</v>
      </c>
      <c r="J172" s="782">
        <f t="shared" si="7"/>
        <v>710.8672814287381</v>
      </c>
    </row>
    <row r="173" spans="1:10" ht="12.75">
      <c r="A173" s="380">
        <v>2010</v>
      </c>
      <c r="B173" s="178">
        <v>1042.002</v>
      </c>
      <c r="C173" s="398">
        <v>281.326</v>
      </c>
      <c r="D173" s="398">
        <v>114.962</v>
      </c>
      <c r="E173" s="764">
        <v>29.58</v>
      </c>
      <c r="F173" s="451">
        <f>SUM(B173:E173)</f>
        <v>1467.87</v>
      </c>
      <c r="G173" s="561">
        <v>2219.919</v>
      </c>
      <c r="H173" s="449">
        <f t="shared" si="8"/>
        <v>0.661226828546447</v>
      </c>
      <c r="I173" s="448">
        <f>F173/I125</f>
        <v>422.32113058589294</v>
      </c>
      <c r="J173" s="782">
        <f t="shared" si="7"/>
        <v>638.6932779395348</v>
      </c>
    </row>
    <row r="174" spans="1:10" ht="12.75">
      <c r="A174" s="380">
        <v>2011</v>
      </c>
      <c r="B174" s="178">
        <v>1155.49</v>
      </c>
      <c r="C174" s="178">
        <v>283.011</v>
      </c>
      <c r="D174" s="178">
        <v>119.887</v>
      </c>
      <c r="E174" s="764">
        <f>SUM(D13:D23)/1000</f>
        <v>22.82474</v>
      </c>
      <c r="F174" s="1022">
        <v>1463.6</v>
      </c>
      <c r="G174" s="561">
        <v>2083</v>
      </c>
      <c r="H174" s="449">
        <f t="shared" si="8"/>
        <v>0.7026404224675947</v>
      </c>
      <c r="I174" s="448">
        <f>F174/I126</f>
        <v>416.61210896359336</v>
      </c>
      <c r="J174" s="782">
        <f t="shared" si="7"/>
        <v>592.9236287039936</v>
      </c>
    </row>
    <row r="175" spans="1:10" ht="12.75">
      <c r="A175" s="380">
        <v>2012</v>
      </c>
      <c r="B175" s="187">
        <v>1042</v>
      </c>
      <c r="C175" s="187">
        <v>281</v>
      </c>
      <c r="D175" s="187">
        <v>115</v>
      </c>
      <c r="E175" s="1075">
        <v>27</v>
      </c>
      <c r="F175" s="1074">
        <v>1466</v>
      </c>
      <c r="G175" s="1076">
        <v>2016.9</v>
      </c>
      <c r="H175" s="1077">
        <f t="shared" si="8"/>
        <v>0.726858049481878</v>
      </c>
      <c r="I175" s="1078">
        <f>F175/I127</f>
        <v>413.7386052549883</v>
      </c>
      <c r="J175" s="783">
        <f t="shared" si="7"/>
        <v>569.2151384302769</v>
      </c>
    </row>
    <row r="176" spans="1:10" ht="12.75">
      <c r="A176" s="432" t="s">
        <v>729</v>
      </c>
      <c r="B176" s="447">
        <f>(B175-B174)/B174</f>
        <v>-0.09821807198677618</v>
      </c>
      <c r="C176" s="447">
        <f aca="true" t="shared" si="9" ref="C176:J176">(C175-C174)/C174</f>
        <v>-0.007105730872651678</v>
      </c>
      <c r="D176" s="447">
        <f t="shared" si="9"/>
        <v>-0.04076338552136596</v>
      </c>
      <c r="E176" s="447">
        <f t="shared" si="9"/>
        <v>0.18292694681297583</v>
      </c>
      <c r="F176" s="447">
        <f t="shared" si="9"/>
        <v>0.0016397922929762853</v>
      </c>
      <c r="G176" s="447">
        <f t="shared" si="9"/>
        <v>-0.03173307729236673</v>
      </c>
      <c r="H176" s="447">
        <f t="shared" si="9"/>
        <v>0.0344666008955672</v>
      </c>
      <c r="I176" s="447">
        <f t="shared" si="9"/>
        <v>-0.00689731202425562</v>
      </c>
      <c r="J176" s="447">
        <f t="shared" si="9"/>
        <v>-0.03998574036514367</v>
      </c>
    </row>
    <row r="177" spans="1:10" ht="12.75">
      <c r="A177" s="446" t="s">
        <v>796</v>
      </c>
      <c r="B177" s="445">
        <f>(B175-B153)/B153</f>
        <v>-0.6203588228500269</v>
      </c>
      <c r="C177" s="445">
        <f>(C175-C153)/C153</f>
        <v>-0.7256869297143532</v>
      </c>
      <c r="D177" s="445"/>
      <c r="E177" s="445"/>
      <c r="F177" s="445">
        <f>(F175-F153)/F153</f>
        <v>-0.6111739895874728</v>
      </c>
      <c r="G177" s="445">
        <f>(G175-G153)/G153</f>
        <v>-0.5507017153040766</v>
      </c>
      <c r="H177" s="445">
        <f>(H175-H153)/H153</f>
        <v>-0.13459271121928004</v>
      </c>
      <c r="I177" s="445">
        <f>(I175-I153)/I153</f>
        <v>-0.7165651189471928</v>
      </c>
      <c r="J177" s="445">
        <f>(J175-J153)/J153</f>
        <v>-0.6724838296056633</v>
      </c>
    </row>
    <row r="178" spans="1:10" ht="12.75">
      <c r="A178" s="666" t="s">
        <v>21</v>
      </c>
      <c r="B178" s="374" t="s">
        <v>315</v>
      </c>
      <c r="D178" s="374" t="s">
        <v>314</v>
      </c>
      <c r="E178" s="374"/>
      <c r="F178" s="374"/>
      <c r="H178" s="374" t="s">
        <v>854</v>
      </c>
      <c r="I178" s="374"/>
      <c r="J178" s="374"/>
    </row>
    <row r="179" spans="1:10" ht="12.75">
      <c r="A179" s="444" t="s">
        <v>313</v>
      </c>
      <c r="B179" s="443"/>
      <c r="C179" s="29"/>
      <c r="D179" s="29"/>
      <c r="E179" s="29"/>
      <c r="F179" s="29"/>
      <c r="G179" s="29"/>
      <c r="H179" s="29"/>
      <c r="I179" s="4"/>
      <c r="J179" s="374"/>
    </row>
    <row r="180" spans="1:10" ht="12.75">
      <c r="A180" s="442" t="s">
        <v>10</v>
      </c>
      <c r="B180" s="440" t="s">
        <v>311</v>
      </c>
      <c r="C180" s="374"/>
      <c r="D180" s="4"/>
      <c r="E180" s="374"/>
      <c r="F180" s="441"/>
      <c r="G180" s="374"/>
      <c r="H180" s="374"/>
      <c r="I180" s="374"/>
      <c r="J180" s="374"/>
    </row>
    <row r="181" spans="1:10" ht="12.75">
      <c r="A181" s="442" t="s">
        <v>11</v>
      </c>
      <c r="B181" s="440" t="s">
        <v>310</v>
      </c>
      <c r="C181" s="374"/>
      <c r="D181" s="4"/>
      <c r="E181" s="374"/>
      <c r="F181" s="441"/>
      <c r="G181" s="374"/>
      <c r="H181" s="374"/>
      <c r="I181" s="374"/>
      <c r="J181" s="374"/>
    </row>
    <row r="182" spans="1:10" ht="12.75">
      <c r="A182" s="442" t="s">
        <v>12</v>
      </c>
      <c r="B182" s="440" t="s">
        <v>309</v>
      </c>
      <c r="C182" s="374"/>
      <c r="D182" s="4"/>
      <c r="E182" s="374"/>
      <c r="F182" s="441"/>
      <c r="G182" s="374"/>
      <c r="H182" s="374"/>
      <c r="I182" s="374"/>
      <c r="J182" s="4"/>
    </row>
    <row r="183" spans="1:10" ht="12.75">
      <c r="A183" s="405" t="s">
        <v>16</v>
      </c>
      <c r="B183" s="204" t="s">
        <v>308</v>
      </c>
      <c r="C183" s="4"/>
      <c r="D183" s="4" t="s">
        <v>487</v>
      </c>
      <c r="E183" s="4"/>
      <c r="F183" s="32"/>
      <c r="G183" s="4"/>
      <c r="H183" s="4"/>
      <c r="I183" s="4"/>
      <c r="J183" s="4"/>
    </row>
    <row r="184" spans="1:10" ht="12.75">
      <c r="A184" s="405" t="s">
        <v>14</v>
      </c>
      <c r="B184" s="204" t="s">
        <v>486</v>
      </c>
      <c r="C184" s="4"/>
      <c r="D184" s="4"/>
      <c r="E184" s="4"/>
      <c r="G184" s="4"/>
      <c r="H184" s="4"/>
      <c r="J184" s="448"/>
    </row>
    <row r="185" spans="1:10" ht="12.75">
      <c r="A185" s="405"/>
      <c r="B185" s="440" t="s">
        <v>820</v>
      </c>
      <c r="C185" s="374"/>
      <c r="D185" s="374"/>
      <c r="E185" s="374"/>
      <c r="F185" s="374"/>
      <c r="G185" s="374"/>
      <c r="H185" s="374"/>
      <c r="I185" s="374"/>
      <c r="J185" s="4"/>
    </row>
    <row r="186" spans="1:10" ht="12.75">
      <c r="A186" s="405" t="s">
        <v>9</v>
      </c>
      <c r="B186" s="204" t="s">
        <v>307</v>
      </c>
      <c r="C186" s="4"/>
      <c r="D186" s="4"/>
      <c r="E186" s="4"/>
      <c r="F186" s="32"/>
      <c r="G186" s="4"/>
      <c r="H186" s="4"/>
      <c r="I186" s="4"/>
      <c r="J186" s="4"/>
    </row>
    <row r="187" spans="1:10" ht="12.75">
      <c r="A187" s="405" t="s">
        <v>17</v>
      </c>
      <c r="B187" s="204" t="s">
        <v>578</v>
      </c>
      <c r="C187" s="26"/>
      <c r="D187" s="26"/>
      <c r="E187" s="26"/>
      <c r="F187" s="439"/>
      <c r="G187" s="4"/>
      <c r="H187" s="4"/>
      <c r="I187" s="4"/>
      <c r="J187" s="4"/>
    </row>
    <row r="188" spans="1:2" ht="12.75">
      <c r="A188" s="405" t="s">
        <v>15</v>
      </c>
      <c r="B188" s="57" t="s">
        <v>579</v>
      </c>
    </row>
    <row r="189" spans="1:2" ht="12.75">
      <c r="A189" s="1015" t="s">
        <v>621</v>
      </c>
      <c r="B189" s="57" t="s">
        <v>855</v>
      </c>
    </row>
    <row r="193" spans="1:7" ht="15.75">
      <c r="A193" s="438" t="s">
        <v>306</v>
      </c>
      <c r="B193" s="437" t="s">
        <v>305</v>
      </c>
      <c r="C193" s="437"/>
      <c r="D193" s="437"/>
      <c r="E193" s="428"/>
      <c r="F193" s="428"/>
      <c r="G193" s="428"/>
    </row>
    <row r="194" spans="1:7" ht="12.75">
      <c r="A194" s="436"/>
      <c r="B194" s="428"/>
      <c r="C194" s="428"/>
      <c r="D194" s="428"/>
      <c r="E194" s="428"/>
      <c r="F194" s="428"/>
      <c r="G194" s="428"/>
    </row>
    <row r="195" spans="1:10" ht="12.75">
      <c r="A195" s="427" t="s">
        <v>304</v>
      </c>
      <c r="B195" s="426" t="s">
        <v>0</v>
      </c>
      <c r="C195" s="426" t="s">
        <v>1</v>
      </c>
      <c r="D195" s="435" t="s">
        <v>238</v>
      </c>
      <c r="E195" s="426" t="s">
        <v>237</v>
      </c>
      <c r="F195" s="426" t="s">
        <v>856</v>
      </c>
      <c r="G195" s="426"/>
      <c r="H195" s="1017" t="s">
        <v>400</v>
      </c>
      <c r="I195" s="1031" t="s">
        <v>400</v>
      </c>
      <c r="J195" s="1032" t="s">
        <v>561</v>
      </c>
    </row>
    <row r="196" spans="1:10" ht="12.75">
      <c r="A196" s="418" t="s">
        <v>303</v>
      </c>
      <c r="B196" s="373" t="s">
        <v>8</v>
      </c>
      <c r="C196" s="373" t="s">
        <v>8</v>
      </c>
      <c r="D196" s="373" t="s">
        <v>8</v>
      </c>
      <c r="E196" s="373" t="s">
        <v>8</v>
      </c>
      <c r="F196" s="373" t="s">
        <v>8</v>
      </c>
      <c r="G196" s="373" t="s">
        <v>430</v>
      </c>
      <c r="H196" s="418" t="s">
        <v>8</v>
      </c>
      <c r="I196" s="562" t="s">
        <v>493</v>
      </c>
      <c r="J196" s="421" t="s">
        <v>8</v>
      </c>
    </row>
    <row r="197" spans="1:10" ht="12.75">
      <c r="A197" s="380"/>
      <c r="B197" s="416" t="s">
        <v>10</v>
      </c>
      <c r="C197" s="416" t="s">
        <v>11</v>
      </c>
      <c r="D197" s="416" t="s">
        <v>12</v>
      </c>
      <c r="E197" s="416" t="s">
        <v>13</v>
      </c>
      <c r="F197" s="416" t="s">
        <v>16</v>
      </c>
      <c r="G197" s="1016" t="s">
        <v>14</v>
      </c>
      <c r="H197" s="1018" t="s">
        <v>9</v>
      </c>
      <c r="I197" s="1036" t="s">
        <v>17</v>
      </c>
      <c r="J197" s="395" t="s">
        <v>15</v>
      </c>
    </row>
    <row r="198" spans="1:10" ht="12.75">
      <c r="A198" s="412">
        <v>1990</v>
      </c>
      <c r="B198" s="411">
        <v>248.662</v>
      </c>
      <c r="C198" s="410">
        <v>341.95</v>
      </c>
      <c r="D198" s="410"/>
      <c r="E198" s="410"/>
      <c r="F198" s="410">
        <v>590.612</v>
      </c>
      <c r="G198" s="741">
        <f aca="true" t="shared" si="10" ref="G198:G215">F198/I105</f>
        <v>228.6632415627456</v>
      </c>
      <c r="H198" s="1019"/>
      <c r="J198" s="1033">
        <v>574.531</v>
      </c>
    </row>
    <row r="199" spans="1:10" ht="12.75">
      <c r="A199" s="380">
        <v>1991</v>
      </c>
      <c r="B199" s="406">
        <v>280.495</v>
      </c>
      <c r="C199" s="407">
        <v>366.036</v>
      </c>
      <c r="D199" s="407"/>
      <c r="E199" s="407"/>
      <c r="F199" s="407">
        <v>646.531</v>
      </c>
      <c r="G199" s="741">
        <f t="shared" si="10"/>
        <v>239.10585851200486</v>
      </c>
      <c r="H199" s="1020"/>
      <c r="I199" s="191"/>
      <c r="J199" s="1033">
        <v>623.443</v>
      </c>
    </row>
    <row r="200" spans="1:10" ht="12.75">
      <c r="A200" s="380">
        <v>1992</v>
      </c>
      <c r="B200" s="406">
        <v>323.29</v>
      </c>
      <c r="C200" s="407">
        <v>311.945</v>
      </c>
      <c r="D200" s="407"/>
      <c r="E200" s="401">
        <v>4.576923076923077</v>
      </c>
      <c r="F200" s="407">
        <v>639.8119230769231</v>
      </c>
      <c r="G200" s="741">
        <f t="shared" si="10"/>
        <v>234.09209673809391</v>
      </c>
      <c r="H200" s="1020"/>
      <c r="I200" s="191"/>
      <c r="J200" s="1033">
        <v>746.039</v>
      </c>
    </row>
    <row r="201" spans="1:10" ht="12.75">
      <c r="A201" s="380">
        <v>1993</v>
      </c>
      <c r="B201" s="406">
        <v>320.269</v>
      </c>
      <c r="C201" s="407">
        <v>370.447</v>
      </c>
      <c r="D201" s="407"/>
      <c r="E201" s="401">
        <v>3.15</v>
      </c>
      <c r="F201" s="407">
        <v>693.866</v>
      </c>
      <c r="G201" s="741">
        <f t="shared" si="10"/>
        <v>250.73873039451337</v>
      </c>
      <c r="H201" s="1020"/>
      <c r="I201" s="190"/>
      <c r="J201" s="1033">
        <v>781.611</v>
      </c>
    </row>
    <row r="202" spans="1:10" ht="12.75">
      <c r="A202" s="380">
        <v>1994</v>
      </c>
      <c r="B202" s="406">
        <v>316.049</v>
      </c>
      <c r="C202" s="407">
        <v>477.253</v>
      </c>
      <c r="D202" s="407">
        <v>4.79015</v>
      </c>
      <c r="E202" s="401"/>
      <c r="F202" s="407">
        <v>798.09215</v>
      </c>
      <c r="G202" s="741">
        <f t="shared" si="10"/>
        <v>284.3771642903922</v>
      </c>
      <c r="H202" s="451">
        <v>793</v>
      </c>
      <c r="I202" s="741">
        <f aca="true" t="shared" si="11" ref="I202:I215">H202/I109</f>
        <v>282.5627232172138</v>
      </c>
      <c r="J202" s="1033">
        <v>670.039</v>
      </c>
    </row>
    <row r="203" spans="1:10" ht="12.75">
      <c r="A203" s="380">
        <v>1995</v>
      </c>
      <c r="B203" s="406">
        <v>305.823</v>
      </c>
      <c r="C203" s="407">
        <v>476.585</v>
      </c>
      <c r="D203" s="407"/>
      <c r="E203" s="401"/>
      <c r="F203" s="407">
        <v>782.4079999999999</v>
      </c>
      <c r="G203" s="741">
        <f t="shared" si="10"/>
        <v>274.3859611686401</v>
      </c>
      <c r="H203" s="1020">
        <v>782</v>
      </c>
      <c r="I203" s="741">
        <f t="shared" si="11"/>
        <v>274.2428779279821</v>
      </c>
      <c r="J203" s="1033">
        <v>785.475</v>
      </c>
    </row>
    <row r="204" spans="1:10" ht="12.75">
      <c r="A204" s="380">
        <v>1996</v>
      </c>
      <c r="B204" s="406">
        <v>256.66</v>
      </c>
      <c r="C204" s="407">
        <v>421.614</v>
      </c>
      <c r="D204" s="407">
        <v>3.3969</v>
      </c>
      <c r="E204" s="401">
        <v>1.08</v>
      </c>
      <c r="F204" s="407">
        <v>682.7509</v>
      </c>
      <c r="G204" s="741">
        <f t="shared" si="10"/>
        <v>235.77432169965851</v>
      </c>
      <c r="H204" s="451">
        <v>674</v>
      </c>
      <c r="I204" s="741">
        <f t="shared" si="11"/>
        <v>232.7523739999022</v>
      </c>
      <c r="J204" s="1033">
        <v>639.337</v>
      </c>
    </row>
    <row r="205" spans="1:10" ht="12.75">
      <c r="A205" s="380">
        <v>1997</v>
      </c>
      <c r="B205" s="406">
        <v>251</v>
      </c>
      <c r="C205" s="407">
        <v>442</v>
      </c>
      <c r="D205" s="407">
        <v>6.158</v>
      </c>
      <c r="E205" s="407"/>
      <c r="F205" s="407">
        <v>699.158</v>
      </c>
      <c r="G205" s="741">
        <f t="shared" si="10"/>
        <v>238.76428230924415</v>
      </c>
      <c r="H205" s="451">
        <v>699</v>
      </c>
      <c r="I205" s="741">
        <f t="shared" si="11"/>
        <v>238.7103248967496</v>
      </c>
      <c r="J205" s="1033">
        <v>716.077</v>
      </c>
    </row>
    <row r="206" spans="1:10" ht="12.75">
      <c r="A206" s="380">
        <v>1998</v>
      </c>
      <c r="B206" s="406">
        <v>254.447</v>
      </c>
      <c r="C206" s="407">
        <v>462.046</v>
      </c>
      <c r="D206" s="407">
        <v>6.7821</v>
      </c>
      <c r="E206" s="405">
        <v>1.2</v>
      </c>
      <c r="F206" s="407">
        <v>724.4751</v>
      </c>
      <c r="G206" s="741">
        <f t="shared" si="10"/>
        <v>246.4807805145902</v>
      </c>
      <c r="H206" s="451">
        <v>724</v>
      </c>
      <c r="I206" s="741">
        <f t="shared" si="11"/>
        <v>246.31914208309342</v>
      </c>
      <c r="J206" s="1033">
        <v>741.291</v>
      </c>
    </row>
    <row r="207" spans="1:10" ht="12.75">
      <c r="A207" s="380">
        <v>1999</v>
      </c>
      <c r="B207" s="406">
        <v>145.475</v>
      </c>
      <c r="C207" s="407">
        <v>0</v>
      </c>
      <c r="D207" s="407">
        <v>1.781</v>
      </c>
      <c r="E207" s="401">
        <v>0.606</v>
      </c>
      <c r="F207" s="407">
        <v>726.962</v>
      </c>
      <c r="G207" s="741">
        <f t="shared" si="10"/>
        <v>245.63703370901925</v>
      </c>
      <c r="H207" s="1020">
        <v>710</v>
      </c>
      <c r="I207" s="741">
        <f t="shared" si="11"/>
        <v>239.90565384903704</v>
      </c>
      <c r="J207" s="1033">
        <v>723.928</v>
      </c>
    </row>
    <row r="208" spans="1:10" ht="12.75">
      <c r="A208" s="380">
        <v>2000</v>
      </c>
      <c r="B208" s="406">
        <v>533.327</v>
      </c>
      <c r="C208" s="407">
        <v>179.745</v>
      </c>
      <c r="D208" s="407">
        <v>7.652</v>
      </c>
      <c r="E208" s="405"/>
      <c r="F208" s="407">
        <v>721</v>
      </c>
      <c r="G208" s="741">
        <f t="shared" si="10"/>
        <v>241.8784447881465</v>
      </c>
      <c r="H208" s="1020">
        <v>710</v>
      </c>
      <c r="I208" s="741">
        <f t="shared" si="11"/>
        <v>238.18820499248824</v>
      </c>
      <c r="J208" s="1033">
        <v>831.901</v>
      </c>
    </row>
    <row r="209" spans="1:10" ht="12.75">
      <c r="A209" s="380">
        <v>2001</v>
      </c>
      <c r="B209" s="406">
        <v>545.27</v>
      </c>
      <c r="C209" s="407">
        <v>145.63</v>
      </c>
      <c r="D209" s="434">
        <v>6.754</v>
      </c>
      <c r="E209" s="405"/>
      <c r="F209" s="407">
        <v>697.654</v>
      </c>
      <c r="G209" s="741">
        <f t="shared" si="10"/>
        <v>231.96780344407583</v>
      </c>
      <c r="H209" s="1020">
        <v>731</v>
      </c>
      <c r="I209" s="741">
        <f t="shared" si="11"/>
        <v>243.05524560544256</v>
      </c>
      <c r="J209" s="1033">
        <v>772.291</v>
      </c>
    </row>
    <row r="210" spans="1:10" ht="12.75">
      <c r="A210" s="380">
        <v>2002</v>
      </c>
      <c r="B210" s="406">
        <v>584.212</v>
      </c>
      <c r="C210" s="407">
        <v>151.015</v>
      </c>
      <c r="D210" s="434">
        <v>6.951</v>
      </c>
      <c r="E210" s="405"/>
      <c r="F210" s="407">
        <v>742.178</v>
      </c>
      <c r="G210" s="741">
        <f t="shared" si="10"/>
        <v>242.45312391112344</v>
      </c>
      <c r="H210" s="1020">
        <v>775</v>
      </c>
      <c r="I210" s="741">
        <f t="shared" si="11"/>
        <v>253.1753447705546</v>
      </c>
      <c r="J210" s="1033">
        <v>801.28175</v>
      </c>
    </row>
    <row r="211" spans="1:10" ht="12.75">
      <c r="A211" s="380">
        <v>2003</v>
      </c>
      <c r="B211" s="406">
        <v>617</v>
      </c>
      <c r="C211" s="407">
        <v>179.428</v>
      </c>
      <c r="D211" s="434">
        <v>2.2099</v>
      </c>
      <c r="E211" s="405"/>
      <c r="F211" s="407">
        <v>798.6379</v>
      </c>
      <c r="G211" s="741">
        <f t="shared" si="10"/>
        <v>255.48727742694996</v>
      </c>
      <c r="H211" s="451">
        <v>802.689</v>
      </c>
      <c r="I211" s="741">
        <f t="shared" si="11"/>
        <v>256.78323960152784</v>
      </c>
      <c r="J211" s="1033">
        <v>786.966</v>
      </c>
    </row>
    <row r="212" spans="1:10" ht="12.75">
      <c r="A212" s="380">
        <v>2004</v>
      </c>
      <c r="B212" s="406">
        <v>646.281</v>
      </c>
      <c r="C212" s="407">
        <v>176</v>
      </c>
      <c r="D212" s="434">
        <v>-20</v>
      </c>
      <c r="E212" s="405">
        <v>0.3</v>
      </c>
      <c r="F212" s="407">
        <f>SUM(B212:E212)</f>
        <v>802.5809999999999</v>
      </c>
      <c r="G212" s="741">
        <f t="shared" si="10"/>
        <v>252.54279421019507</v>
      </c>
      <c r="H212" s="451">
        <v>837</v>
      </c>
      <c r="I212" s="741">
        <f t="shared" si="11"/>
        <v>263.373190685966</v>
      </c>
      <c r="J212" s="1033">
        <v>834.119</v>
      </c>
    </row>
    <row r="213" spans="1:10" ht="12.75">
      <c r="A213" s="380">
        <v>2005</v>
      </c>
      <c r="B213" s="406">
        <v>666</v>
      </c>
      <c r="C213" s="407">
        <v>144</v>
      </c>
      <c r="D213" s="434">
        <v>0</v>
      </c>
      <c r="E213" s="405">
        <v>0.8</v>
      </c>
      <c r="F213" s="407">
        <f>SUM(B213:E213)</f>
        <v>810.8</v>
      </c>
      <c r="G213" s="741">
        <f t="shared" si="10"/>
        <v>251.72384887876086</v>
      </c>
      <c r="H213" s="451">
        <v>834</v>
      </c>
      <c r="I213" s="741">
        <f t="shared" si="11"/>
        <v>258.9266033114043</v>
      </c>
      <c r="J213" s="1033">
        <v>883.063</v>
      </c>
    </row>
    <row r="214" spans="1:10" ht="12.75">
      <c r="A214" s="380">
        <v>2006</v>
      </c>
      <c r="B214" s="178">
        <v>670.023</v>
      </c>
      <c r="C214" s="209">
        <v>145.475</v>
      </c>
      <c r="D214" s="209">
        <v>0</v>
      </c>
      <c r="E214" s="209">
        <v>1.781</v>
      </c>
      <c r="F214" s="407">
        <f>SUM(B214:E214)</f>
        <v>817.279</v>
      </c>
      <c r="G214" s="741">
        <f t="shared" si="10"/>
        <v>250.20251219206054</v>
      </c>
      <c r="H214" s="1021">
        <v>836</v>
      </c>
      <c r="I214" s="743">
        <f t="shared" si="11"/>
        <v>255.93377560485786</v>
      </c>
      <c r="J214" s="1033">
        <v>873</v>
      </c>
    </row>
    <row r="215" spans="1:10" ht="12.75">
      <c r="A215" s="380">
        <v>2007</v>
      </c>
      <c r="B215" s="178">
        <v>644.261</v>
      </c>
      <c r="C215" s="178">
        <v>145.378</v>
      </c>
      <c r="D215" s="178">
        <v>0.954</v>
      </c>
      <c r="E215" s="177">
        <v>3.1</v>
      </c>
      <c r="F215" s="398">
        <f>SUM(B215:E215)</f>
        <v>793.6929999999999</v>
      </c>
      <c r="G215" s="741">
        <f t="shared" si="10"/>
        <v>237.4648451992005</v>
      </c>
      <c r="H215" s="1021">
        <v>794</v>
      </c>
      <c r="I215" s="743">
        <f t="shared" si="11"/>
        <v>237.55669646597013</v>
      </c>
      <c r="J215" s="1033">
        <v>897.852</v>
      </c>
    </row>
    <row r="216" spans="1:10" ht="12.75">
      <c r="A216" s="380">
        <v>2008</v>
      </c>
      <c r="B216" s="178"/>
      <c r="C216" s="178"/>
      <c r="D216" s="178"/>
      <c r="E216" s="177"/>
      <c r="F216" s="398"/>
      <c r="G216" s="742"/>
      <c r="H216" s="1021"/>
      <c r="I216" s="743"/>
      <c r="J216" s="1033">
        <v>870</v>
      </c>
    </row>
    <row r="217" spans="1:10" ht="12.75">
      <c r="A217" s="380">
        <v>2009</v>
      </c>
      <c r="B217" s="178">
        <v>632</v>
      </c>
      <c r="C217" s="178">
        <v>159</v>
      </c>
      <c r="D217" s="178">
        <v>0</v>
      </c>
      <c r="E217" s="178">
        <v>10</v>
      </c>
      <c r="F217" s="178">
        <v>801</v>
      </c>
      <c r="G217" s="741">
        <f>F217/I124</f>
        <v>233.74576864713435</v>
      </c>
      <c r="H217" s="1022">
        <v>825</v>
      </c>
      <c r="I217" s="743">
        <f>H217/I124</f>
        <v>240.74938718337808</v>
      </c>
      <c r="J217" s="1033">
        <v>849.8583</v>
      </c>
    </row>
    <row r="218" spans="1:10" ht="12.75">
      <c r="A218" s="380">
        <v>2010</v>
      </c>
      <c r="B218" s="178">
        <v>579.891</v>
      </c>
      <c r="C218" s="178">
        <v>151.28</v>
      </c>
      <c r="D218" s="178">
        <v>0.588</v>
      </c>
      <c r="E218" s="178">
        <v>3.3375</v>
      </c>
      <c r="F218" s="178">
        <v>735.0964999999999</v>
      </c>
      <c r="G218" s="742">
        <f>F218/I125</f>
        <v>211.4947406580507</v>
      </c>
      <c r="H218" s="1022">
        <v>771</v>
      </c>
      <c r="I218" s="743">
        <f>H218/I125</f>
        <v>221.82454282853624</v>
      </c>
      <c r="J218" s="1034" t="s">
        <v>577</v>
      </c>
    </row>
    <row r="219" spans="1:10" ht="12.75">
      <c r="A219" s="380">
        <v>2011</v>
      </c>
      <c r="B219" s="178">
        <v>477.077</v>
      </c>
      <c r="C219" s="178">
        <v>147.123</v>
      </c>
      <c r="D219" s="177">
        <v>0.288</v>
      </c>
      <c r="E219" s="178">
        <f>F219-B219-C219-D219</f>
        <v>16.01200000000001</v>
      </c>
      <c r="F219" s="178">
        <v>640.5</v>
      </c>
      <c r="G219" s="741">
        <f>F219/I126</f>
        <v>182.31761122655203</v>
      </c>
      <c r="H219" s="1022">
        <v>630.8</v>
      </c>
      <c r="I219" s="743">
        <f>H219/I126</f>
        <v>179.5565170362358</v>
      </c>
      <c r="J219" s="1034" t="s">
        <v>577</v>
      </c>
    </row>
    <row r="220" spans="1:10" ht="12.75">
      <c r="A220" s="380">
        <v>2012</v>
      </c>
      <c r="B220" s="178">
        <v>477</v>
      </c>
      <c r="C220" s="178">
        <v>147</v>
      </c>
      <c r="D220" s="177">
        <v>0.3</v>
      </c>
      <c r="E220" s="178">
        <v>7.3</v>
      </c>
      <c r="F220" s="178">
        <v>632</v>
      </c>
      <c r="G220" s="741">
        <f>F220/I127</f>
        <v>178.3648011740468</v>
      </c>
      <c r="H220" s="1022">
        <v>592.5</v>
      </c>
      <c r="I220" s="743">
        <f>H220/I127</f>
        <v>167.21700110066888</v>
      </c>
      <c r="J220" s="1034" t="s">
        <v>577</v>
      </c>
    </row>
    <row r="221" spans="1:10" ht="12.75">
      <c r="A221" s="432" t="s">
        <v>729</v>
      </c>
      <c r="B221" s="1025">
        <f>(B220-B219)/B219</f>
        <v>-0.00016139952250894128</v>
      </c>
      <c r="C221" s="1026">
        <f aca="true" t="shared" si="12" ref="C221:I221">(C220-C219)/C219</f>
        <v>-0.0008360351542586167</v>
      </c>
      <c r="D221" s="1026">
        <f t="shared" si="12"/>
        <v>0.041666666666666706</v>
      </c>
      <c r="E221" s="1026">
        <f t="shared" si="12"/>
        <v>-0.5440919310517115</v>
      </c>
      <c r="F221" s="1026">
        <f t="shared" si="12"/>
        <v>-0.01327088212334114</v>
      </c>
      <c r="G221" s="1027">
        <f t="shared" si="12"/>
        <v>-0.021680900851609942</v>
      </c>
      <c r="H221" s="1023">
        <f t="shared" si="12"/>
        <v>-0.06071655041217495</v>
      </c>
      <c r="I221" s="1025">
        <f t="shared" si="12"/>
        <v>-0.06872218362910607</v>
      </c>
      <c r="J221" s="1023"/>
    </row>
    <row r="222" spans="1:10" ht="12.75">
      <c r="A222" s="414" t="s">
        <v>796</v>
      </c>
      <c r="B222" s="1028">
        <f>(B220-B198)/B198</f>
        <v>0.9182665626432667</v>
      </c>
      <c r="C222" s="1029">
        <f>(C220-C198)/C198</f>
        <v>-0.5701125895598772</v>
      </c>
      <c r="D222" s="1029"/>
      <c r="E222" s="1029"/>
      <c r="F222" s="1029">
        <f>(F220-F198)/F198</f>
        <v>0.07007646305865786</v>
      </c>
      <c r="G222" s="1030">
        <f>(G220-G198)/G198</f>
        <v>-0.21996731982344805</v>
      </c>
      <c r="H222" s="1024"/>
      <c r="I222" s="1028"/>
      <c r="J222" s="1035"/>
    </row>
    <row r="223" spans="1:10" ht="12.75">
      <c r="A223" s="444" t="s">
        <v>313</v>
      </c>
      <c r="B223" s="443" t="s">
        <v>312</v>
      </c>
      <c r="C223" s="29"/>
      <c r="D223" s="29"/>
      <c r="E223" s="29"/>
      <c r="F223" s="29"/>
      <c r="G223" s="29"/>
      <c r="H223" s="29"/>
      <c r="I223" s="4"/>
      <c r="J223" s="374"/>
    </row>
    <row r="224" spans="1:10" ht="12.75">
      <c r="A224" s="374" t="s">
        <v>429</v>
      </c>
      <c r="B224" s="374" t="s">
        <v>489</v>
      </c>
      <c r="D224" s="374"/>
      <c r="E224" s="374"/>
      <c r="F224" s="431"/>
      <c r="G224" s="431"/>
      <c r="H224" s="4"/>
      <c r="I224" s="665"/>
      <c r="J224" s="374"/>
    </row>
    <row r="225" spans="1:10" ht="12.75">
      <c r="A225" s="405" t="s">
        <v>16</v>
      </c>
      <c r="B225" s="4" t="s">
        <v>490</v>
      </c>
      <c r="C225" s="4"/>
      <c r="D225" s="4"/>
      <c r="E225" s="374"/>
      <c r="F225" s="431"/>
      <c r="G225" s="431"/>
      <c r="H225" s="4"/>
      <c r="I225" s="374"/>
      <c r="J225" s="374"/>
    </row>
    <row r="226" spans="1:10" ht="12.75">
      <c r="A226" s="405" t="s">
        <v>14</v>
      </c>
      <c r="B226" s="58" t="s">
        <v>491</v>
      </c>
      <c r="I226" s="374"/>
      <c r="J226" s="374"/>
    </row>
    <row r="227" spans="1:10" ht="12.75">
      <c r="A227" s="405" t="s">
        <v>9</v>
      </c>
      <c r="B227" s="374" t="s">
        <v>394</v>
      </c>
      <c r="C227" s="374"/>
      <c r="D227" s="374"/>
      <c r="E227" s="431"/>
      <c r="F227" s="431"/>
      <c r="H227" s="4"/>
      <c r="I227" s="374"/>
      <c r="J227" s="374"/>
    </row>
    <row r="228" spans="1:10" ht="12.75">
      <c r="A228" s="405" t="s">
        <v>17</v>
      </c>
      <c r="B228" t="s">
        <v>492</v>
      </c>
      <c r="G228" s="431"/>
      <c r="H228" s="4"/>
      <c r="I228" s="374"/>
      <c r="J228" s="374"/>
    </row>
    <row r="229" spans="1:10" ht="12.75">
      <c r="A229" s="405" t="s">
        <v>15</v>
      </c>
      <c r="B229" s="4" t="s">
        <v>562</v>
      </c>
      <c r="C229" s="4"/>
      <c r="D229" s="4"/>
      <c r="E229" s="374"/>
      <c r="F229" s="431"/>
      <c r="G229" s="431"/>
      <c r="H229" s="4"/>
      <c r="I229" s="374"/>
      <c r="J229" s="374"/>
    </row>
    <row r="230" spans="1:10" ht="12.75">
      <c r="A230" s="1015" t="s">
        <v>312</v>
      </c>
      <c r="B230" s="4" t="s">
        <v>399</v>
      </c>
      <c r="H230" s="4"/>
      <c r="I230" s="374"/>
      <c r="J230" s="374"/>
    </row>
    <row r="231" spans="1:10" ht="12.75">
      <c r="A231" s="405"/>
      <c r="I231" s="374"/>
      <c r="J231" s="374"/>
    </row>
    <row r="232" ht="12.75">
      <c r="A232" s="1015" t="s">
        <v>351</v>
      </c>
    </row>
    <row r="233" spans="1:10" ht="12.75">
      <c r="A233" s="405"/>
      <c r="B233" s="4" t="s">
        <v>822</v>
      </c>
      <c r="C233" s="544"/>
      <c r="D233" s="544"/>
      <c r="E233" s="544"/>
      <c r="F233" s="544"/>
      <c r="I233" s="374"/>
      <c r="J233" s="374"/>
    </row>
    <row r="234" spans="1:10" ht="12.75">
      <c r="A234" s="405"/>
      <c r="B234" s="4"/>
      <c r="E234" s="374"/>
      <c r="F234" s="431"/>
      <c r="G234" s="431"/>
      <c r="H234" s="4"/>
      <c r="I234" s="374"/>
      <c r="J234" s="374"/>
    </row>
    <row r="235" spans="1:10" ht="12.75">
      <c r="A235" s="405"/>
      <c r="B235" s="374"/>
      <c r="C235" s="374"/>
      <c r="D235" s="374"/>
      <c r="E235" s="374"/>
      <c r="F235" s="431"/>
      <c r="G235" s="431"/>
      <c r="H235" s="4"/>
      <c r="I235" s="374"/>
      <c r="J235" s="374"/>
    </row>
    <row r="236" spans="1:10" ht="12.75">
      <c r="A236" s="405"/>
      <c r="B236" s="374"/>
      <c r="C236" s="374"/>
      <c r="D236" s="374"/>
      <c r="E236" s="374"/>
      <c r="F236" s="431"/>
      <c r="G236" s="431"/>
      <c r="H236" s="4"/>
      <c r="I236" s="374"/>
      <c r="J236" s="374"/>
    </row>
    <row r="237" spans="1:5" ht="15.75">
      <c r="A237" s="430" t="s">
        <v>301</v>
      </c>
      <c r="B237" s="70" t="s">
        <v>431</v>
      </c>
      <c r="C237" s="70"/>
      <c r="D237" s="70"/>
      <c r="E237" s="70"/>
    </row>
    <row r="238" spans="2:9" ht="12.75">
      <c r="B238" s="428" t="s">
        <v>300</v>
      </c>
      <c r="C238" s="428"/>
      <c r="D238" s="429"/>
      <c r="E238" s="429"/>
      <c r="F238" s="428" t="s">
        <v>365</v>
      </c>
      <c r="G238" s="314" t="s">
        <v>619</v>
      </c>
      <c r="I238" s="314" t="s">
        <v>425</v>
      </c>
    </row>
    <row r="239" spans="1:9" ht="12.75">
      <c r="A239" s="427" t="s">
        <v>5</v>
      </c>
      <c r="B239" s="424" t="s">
        <v>426</v>
      </c>
      <c r="C239" s="426"/>
      <c r="D239" s="426"/>
      <c r="E239" s="426"/>
      <c r="F239" s="425" t="s">
        <v>401</v>
      </c>
      <c r="G239" s="424" t="s">
        <v>620</v>
      </c>
      <c r="H239" s="426"/>
      <c r="I239" s="424" t="s">
        <v>427</v>
      </c>
    </row>
    <row r="240" spans="1:9" ht="12.75">
      <c r="A240" s="421" t="s">
        <v>281</v>
      </c>
      <c r="B240" s="417" t="s">
        <v>0</v>
      </c>
      <c r="C240" s="420" t="s">
        <v>1</v>
      </c>
      <c r="D240" s="420" t="s">
        <v>576</v>
      </c>
      <c r="E240" s="416" t="s">
        <v>296</v>
      </c>
      <c r="F240" s="423" t="s">
        <v>618</v>
      </c>
      <c r="G240" s="380" t="s">
        <v>297</v>
      </c>
      <c r="H240" s="422" t="s">
        <v>297</v>
      </c>
      <c r="I240" s="379" t="s">
        <v>425</v>
      </c>
    </row>
    <row r="241" spans="1:9" ht="12.75">
      <c r="A241" s="421"/>
      <c r="B241" s="435" t="s">
        <v>295</v>
      </c>
      <c r="C241" s="435" t="s">
        <v>295</v>
      </c>
      <c r="D241" s="435" t="s">
        <v>295</v>
      </c>
      <c r="E241" s="435" t="s">
        <v>295</v>
      </c>
      <c r="F241" s="415" t="s">
        <v>295</v>
      </c>
      <c r="G241" s="417" t="s">
        <v>295</v>
      </c>
      <c r="H241" s="419" t="s">
        <v>295</v>
      </c>
      <c r="I241" s="416" t="s">
        <v>295</v>
      </c>
    </row>
    <row r="242" spans="1:9" ht="12.75">
      <c r="A242" s="418"/>
      <c r="B242" s="417" t="s">
        <v>8</v>
      </c>
      <c r="C242" s="416" t="s">
        <v>8</v>
      </c>
      <c r="D242" s="416" t="s">
        <v>8</v>
      </c>
      <c r="E242" s="416" t="s">
        <v>8</v>
      </c>
      <c r="F242" s="415" t="s">
        <v>8</v>
      </c>
      <c r="G242" s="414" t="s">
        <v>8</v>
      </c>
      <c r="H242" s="413" t="s">
        <v>294</v>
      </c>
      <c r="I242" s="416" t="s">
        <v>347</v>
      </c>
    </row>
    <row r="243" spans="1:9" ht="12.75">
      <c r="A243" s="412">
        <v>1990</v>
      </c>
      <c r="B243" s="411">
        <v>24.884</v>
      </c>
      <c r="C243" s="410">
        <v>2.585</v>
      </c>
      <c r="D243" s="410"/>
      <c r="E243" s="410">
        <v>27.469</v>
      </c>
      <c r="F243" s="409"/>
      <c r="G243" s="539">
        <v>602</v>
      </c>
      <c r="H243" s="408">
        <v>233.0722562710762</v>
      </c>
      <c r="I243" s="595">
        <f aca="true" t="shared" si="13" ref="I243:I259">(G243-E243)</f>
        <v>574.531</v>
      </c>
    </row>
    <row r="244" spans="1:9" ht="12.75">
      <c r="A244" s="380">
        <v>1991</v>
      </c>
      <c r="B244" s="406">
        <v>21.862</v>
      </c>
      <c r="C244" s="407">
        <v>6.695</v>
      </c>
      <c r="D244" s="407"/>
      <c r="E244" s="398">
        <v>28.557</v>
      </c>
      <c r="F244" s="400"/>
      <c r="G244" s="538">
        <v>652</v>
      </c>
      <c r="H244" s="403">
        <v>241.12845285040774</v>
      </c>
      <c r="I244" s="595">
        <f t="shared" si="13"/>
        <v>623.443</v>
      </c>
    </row>
    <row r="245" spans="1:9" ht="12.75">
      <c r="A245" s="380">
        <v>1992</v>
      </c>
      <c r="B245" s="406">
        <v>20.391</v>
      </c>
      <c r="C245" s="407">
        <v>1.57</v>
      </c>
      <c r="D245" s="407"/>
      <c r="E245" s="398">
        <v>21.961</v>
      </c>
      <c r="F245" s="400"/>
      <c r="G245" s="538">
        <v>768</v>
      </c>
      <c r="H245" s="403">
        <v>280.9930915795723</v>
      </c>
      <c r="I245" s="595">
        <f t="shared" si="13"/>
        <v>746.039</v>
      </c>
    </row>
    <row r="246" spans="1:9" ht="12.75">
      <c r="A246" s="380">
        <v>1993</v>
      </c>
      <c r="B246" s="406">
        <v>19.132</v>
      </c>
      <c r="C246" s="407">
        <v>5.716</v>
      </c>
      <c r="D246" s="407">
        <v>3.541</v>
      </c>
      <c r="E246" s="398">
        <v>28.389</v>
      </c>
      <c r="F246" s="400"/>
      <c r="G246" s="538">
        <v>810</v>
      </c>
      <c r="H246" s="403">
        <v>292.7054670780177</v>
      </c>
      <c r="I246" s="595">
        <f t="shared" si="13"/>
        <v>781.611</v>
      </c>
    </row>
    <row r="247" spans="1:9" ht="12.75">
      <c r="A247" s="380">
        <v>1994</v>
      </c>
      <c r="B247" s="406">
        <v>17.729</v>
      </c>
      <c r="C247" s="407">
        <v>6.232</v>
      </c>
      <c r="D247" s="407"/>
      <c r="E247" s="398">
        <v>23.961</v>
      </c>
      <c r="F247" s="400"/>
      <c r="G247" s="538">
        <v>694</v>
      </c>
      <c r="H247" s="403">
        <v>247.28692296689326</v>
      </c>
      <c r="I247" s="595">
        <f t="shared" si="13"/>
        <v>670.039</v>
      </c>
    </row>
    <row r="248" spans="1:9" ht="12.75">
      <c r="A248" s="380">
        <v>1995</v>
      </c>
      <c r="B248" s="406">
        <v>16.64</v>
      </c>
      <c r="C248" s="407">
        <v>5.885</v>
      </c>
      <c r="D248" s="407"/>
      <c r="E248" s="398">
        <v>22.525</v>
      </c>
      <c r="F248" s="400"/>
      <c r="G248" s="538">
        <v>808</v>
      </c>
      <c r="H248" s="403">
        <v>283.3609275777615</v>
      </c>
      <c r="I248" s="595">
        <f t="shared" si="13"/>
        <v>785.475</v>
      </c>
    </row>
    <row r="249" spans="1:9" ht="12.75">
      <c r="A249" s="380">
        <v>1996</v>
      </c>
      <c r="B249" s="406">
        <v>13.893</v>
      </c>
      <c r="C249" s="407">
        <v>4.77</v>
      </c>
      <c r="D249" s="407"/>
      <c r="E249" s="398">
        <v>18.663</v>
      </c>
      <c r="F249" s="400"/>
      <c r="G249" s="403">
        <v>658</v>
      </c>
      <c r="H249" s="403">
        <v>227.22709509189266</v>
      </c>
      <c r="I249" s="595">
        <f t="shared" si="13"/>
        <v>639.337</v>
      </c>
    </row>
    <row r="250" spans="1:9" ht="12.75">
      <c r="A250" s="380">
        <v>1997</v>
      </c>
      <c r="B250" s="406">
        <v>14.144</v>
      </c>
      <c r="C250" s="407">
        <v>1.779</v>
      </c>
      <c r="D250" s="407"/>
      <c r="E250" s="398">
        <v>15.923</v>
      </c>
      <c r="F250" s="400"/>
      <c r="G250" s="403">
        <v>732</v>
      </c>
      <c r="H250" s="403">
        <v>249.9799110506734</v>
      </c>
      <c r="I250" s="595">
        <f t="shared" si="13"/>
        <v>716.077</v>
      </c>
    </row>
    <row r="251" spans="1:9" ht="12.75">
      <c r="A251" s="380">
        <v>1998</v>
      </c>
      <c r="B251" s="406">
        <v>14.709</v>
      </c>
      <c r="C251" s="405">
        <v>0</v>
      </c>
      <c r="D251" s="405"/>
      <c r="E251" s="398">
        <v>14.709</v>
      </c>
      <c r="F251" s="400"/>
      <c r="G251" s="403">
        <v>756</v>
      </c>
      <c r="H251" s="403">
        <v>257.20617598731855</v>
      </c>
      <c r="I251" s="595">
        <f t="shared" si="13"/>
        <v>741.291</v>
      </c>
    </row>
    <row r="252" spans="1:9" ht="12.75">
      <c r="A252" s="380">
        <v>1999</v>
      </c>
      <c r="B252" s="406">
        <v>12.072</v>
      </c>
      <c r="C252" s="405">
        <v>0</v>
      </c>
      <c r="D252" s="405"/>
      <c r="E252" s="398">
        <v>12.072</v>
      </c>
      <c r="F252" s="400"/>
      <c r="G252" s="403">
        <v>736</v>
      </c>
      <c r="H252" s="403">
        <v>248.69093131393134</v>
      </c>
      <c r="I252" s="595">
        <f t="shared" si="13"/>
        <v>723.928</v>
      </c>
    </row>
    <row r="253" spans="1:9" ht="12.75">
      <c r="A253" s="380">
        <v>2000</v>
      </c>
      <c r="B253" s="404">
        <v>7.994</v>
      </c>
      <c r="C253" s="401">
        <v>1.105</v>
      </c>
      <c r="D253" s="405">
        <v>0</v>
      </c>
      <c r="E253" s="399">
        <f aca="true" t="shared" si="14" ref="E253:E260">SUM(B253:D253)</f>
        <v>9.099</v>
      </c>
      <c r="F253" s="400"/>
      <c r="G253" s="403">
        <v>841</v>
      </c>
      <c r="H253" s="403">
        <v>282.1356061953281</v>
      </c>
      <c r="I253" s="595">
        <f t="shared" si="13"/>
        <v>831.901</v>
      </c>
    </row>
    <row r="254" spans="1:9" ht="12.75">
      <c r="A254" s="380">
        <v>2001</v>
      </c>
      <c r="B254" s="404">
        <v>6.936</v>
      </c>
      <c r="C254" s="401">
        <v>0.773</v>
      </c>
      <c r="D254" s="405"/>
      <c r="E254" s="399">
        <f t="shared" si="14"/>
        <v>7.709</v>
      </c>
      <c r="F254" s="400"/>
      <c r="G254" s="403">
        <v>780</v>
      </c>
      <c r="H254" s="403">
        <v>259.3475944900755</v>
      </c>
      <c r="I254" s="595">
        <f t="shared" si="13"/>
        <v>772.291</v>
      </c>
    </row>
    <row r="255" spans="1:9" ht="12.75">
      <c r="A255" s="380">
        <v>2002</v>
      </c>
      <c r="B255" s="404">
        <v>6.62</v>
      </c>
      <c r="C255" s="401">
        <v>0.719</v>
      </c>
      <c r="D255" s="401">
        <v>1.37925</v>
      </c>
      <c r="E255" s="399">
        <f t="shared" si="14"/>
        <v>8.718250000000001</v>
      </c>
      <c r="F255" s="400"/>
      <c r="G255" s="403">
        <v>810</v>
      </c>
      <c r="H255" s="403">
        <v>264.60907001825706</v>
      </c>
      <c r="I255" s="595">
        <f t="shared" si="13"/>
        <v>801.28175</v>
      </c>
    </row>
    <row r="256" spans="1:9" ht="12.75">
      <c r="A256" s="380">
        <v>2003</v>
      </c>
      <c r="B256" s="402">
        <v>6.073</v>
      </c>
      <c r="C256" s="399">
        <v>0.707</v>
      </c>
      <c r="D256" s="401">
        <v>1.254</v>
      </c>
      <c r="E256" s="399">
        <f t="shared" si="14"/>
        <v>8.034</v>
      </c>
      <c r="F256" s="400"/>
      <c r="G256" s="403">
        <v>795</v>
      </c>
      <c r="H256" s="403">
        <v>254.36078368318408</v>
      </c>
      <c r="I256" s="595">
        <f t="shared" si="13"/>
        <v>786.966</v>
      </c>
    </row>
    <row r="257" spans="1:9" ht="12.75">
      <c r="A257" s="380">
        <v>2004</v>
      </c>
      <c r="B257" s="402">
        <v>5.163</v>
      </c>
      <c r="C257" s="399">
        <v>0.723</v>
      </c>
      <c r="D257" s="401">
        <v>0.995</v>
      </c>
      <c r="E257" s="399">
        <f t="shared" si="14"/>
        <v>6.881</v>
      </c>
      <c r="F257" s="400"/>
      <c r="G257" s="403">
        <v>841</v>
      </c>
      <c r="H257" s="403">
        <v>264.6318439269981</v>
      </c>
      <c r="I257" s="595">
        <f t="shared" si="13"/>
        <v>834.119</v>
      </c>
    </row>
    <row r="258" spans="1:9" ht="12.75">
      <c r="A258" s="380">
        <v>2005</v>
      </c>
      <c r="B258" s="402">
        <v>4</v>
      </c>
      <c r="C258" s="399">
        <v>0.6</v>
      </c>
      <c r="D258" s="401">
        <v>1.337</v>
      </c>
      <c r="E258" s="399">
        <f t="shared" si="14"/>
        <v>5.936999999999999</v>
      </c>
      <c r="F258" s="400"/>
      <c r="G258" s="403">
        <v>889</v>
      </c>
      <c r="H258" s="397">
        <v>276</v>
      </c>
      <c r="I258" s="595">
        <f t="shared" si="13"/>
        <v>883.063</v>
      </c>
    </row>
    <row r="259" spans="1:9" ht="12.75">
      <c r="A259" s="380">
        <v>2006</v>
      </c>
      <c r="B259" s="402">
        <v>4.1</v>
      </c>
      <c r="C259" s="399">
        <v>0.6</v>
      </c>
      <c r="D259" s="399">
        <v>1.3</v>
      </c>
      <c r="E259" s="399">
        <f t="shared" si="14"/>
        <v>5.999999999999999</v>
      </c>
      <c r="F259" s="400"/>
      <c r="G259" s="403">
        <v>879</v>
      </c>
      <c r="H259" s="397">
        <f aca="true" t="shared" si="15" ref="H259:H265">G259/I121</f>
        <v>269.0978334409929</v>
      </c>
      <c r="I259" s="595">
        <f t="shared" si="13"/>
        <v>873</v>
      </c>
    </row>
    <row r="260" spans="1:9" ht="12.75">
      <c r="A260" s="380">
        <v>2007</v>
      </c>
      <c r="B260" s="616">
        <v>2.074</v>
      </c>
      <c r="C260" s="177">
        <v>0.574</v>
      </c>
      <c r="D260" s="91">
        <v>3.5</v>
      </c>
      <c r="E260" s="399">
        <f t="shared" si="14"/>
        <v>6.148</v>
      </c>
      <c r="F260" s="803">
        <v>6.1</v>
      </c>
      <c r="G260" s="612">
        <v>904</v>
      </c>
      <c r="H260" s="397">
        <f t="shared" si="15"/>
        <v>270.4675738101222</v>
      </c>
      <c r="I260" s="595">
        <f>(G260-F260)</f>
        <v>897.9</v>
      </c>
    </row>
    <row r="261" spans="1:9" ht="12.75">
      <c r="A261" s="380">
        <v>2008</v>
      </c>
      <c r="B261" s="615"/>
      <c r="C261" s="91"/>
      <c r="D261" s="91"/>
      <c r="E261" s="399"/>
      <c r="F261" s="406"/>
      <c r="G261" s="612">
        <v>870</v>
      </c>
      <c r="H261" s="397">
        <f t="shared" si="15"/>
        <v>257.2716196874889</v>
      </c>
      <c r="I261" s="595">
        <f>(G261-F261)</f>
        <v>870</v>
      </c>
    </row>
    <row r="262" spans="1:9" ht="12.75">
      <c r="A262" s="380">
        <v>2009</v>
      </c>
      <c r="B262" s="616">
        <v>0</v>
      </c>
      <c r="C262" s="177">
        <v>0.565</v>
      </c>
      <c r="D262" s="177">
        <v>5.5767</v>
      </c>
      <c r="E262" s="619">
        <v>6.1417</v>
      </c>
      <c r="F262" s="404">
        <v>6.1</v>
      </c>
      <c r="G262" s="612">
        <v>856</v>
      </c>
      <c r="H262" s="397">
        <f t="shared" si="15"/>
        <v>249.79572779269287</v>
      </c>
      <c r="I262" s="595">
        <f>(G262-F262)</f>
        <v>849.9</v>
      </c>
    </row>
    <row r="263" spans="1:9" ht="12.75">
      <c r="A263" s="380">
        <v>2010</v>
      </c>
      <c r="B263" s="617">
        <v>0</v>
      </c>
      <c r="C263" s="177">
        <v>0.478</v>
      </c>
      <c r="D263" s="619">
        <v>3.396</v>
      </c>
      <c r="E263" s="404">
        <v>3.8739999999999997</v>
      </c>
      <c r="F263" s="619">
        <v>3.86</v>
      </c>
      <c r="G263" s="613">
        <v>775</v>
      </c>
      <c r="H263" s="397">
        <f t="shared" si="15"/>
        <v>222.97538351765965</v>
      </c>
      <c r="I263" s="595">
        <f>(G263-F263)</f>
        <v>771.14</v>
      </c>
    </row>
    <row r="264" spans="1:9" ht="12.75">
      <c r="A264" s="380">
        <v>2011</v>
      </c>
      <c r="B264" s="617">
        <v>0</v>
      </c>
      <c r="C264" s="177">
        <v>0.349</v>
      </c>
      <c r="D264" s="619">
        <v>3.412</v>
      </c>
      <c r="E264" s="404">
        <f>SUM(B264:D264)</f>
        <v>3.761</v>
      </c>
      <c r="F264" s="619">
        <v>2.7</v>
      </c>
      <c r="G264" s="959">
        <f>F264+H219</f>
        <v>633.5</v>
      </c>
      <c r="H264" s="765">
        <f t="shared" si="15"/>
        <v>180.32506902735474</v>
      </c>
      <c r="I264" s="960">
        <f>(G264-F264)</f>
        <v>630.8</v>
      </c>
    </row>
    <row r="265" spans="1:9" ht="12.75">
      <c r="A265" s="380">
        <v>2012</v>
      </c>
      <c r="B265" s="617">
        <v>0</v>
      </c>
      <c r="C265" s="177">
        <v>0.3</v>
      </c>
      <c r="D265" s="619">
        <v>0</v>
      </c>
      <c r="E265" s="404">
        <v>2.1</v>
      </c>
      <c r="F265" s="619">
        <v>2.5</v>
      </c>
      <c r="G265" s="771">
        <v>595</v>
      </c>
      <c r="H265" s="765">
        <f t="shared" si="15"/>
        <v>167.92255806733837</v>
      </c>
      <c r="I265" s="595">
        <v>592.5</v>
      </c>
    </row>
    <row r="266" spans="1:9" ht="12.75">
      <c r="A266" s="396" t="s">
        <v>729</v>
      </c>
      <c r="B266" s="614"/>
      <c r="C266" s="614">
        <f>(C265-C264)/C264</f>
        <v>-0.14040114613180513</v>
      </c>
      <c r="D266" s="614">
        <f>(D264-D263)/D263</f>
        <v>0.004711425206124857</v>
      </c>
      <c r="E266" s="614">
        <f>(E265-E264)/E264</f>
        <v>-0.4416378622706727</v>
      </c>
      <c r="F266" s="614">
        <f>(F264-F263)/F263</f>
        <v>-0.30051813471502586</v>
      </c>
      <c r="G266" s="614">
        <f>(G265-G264)/G264</f>
        <v>-0.06077348066298342</v>
      </c>
      <c r="H266" s="614">
        <f>(H265-H264)/H264</f>
        <v>-0.0687786286560908</v>
      </c>
      <c r="I266" s="614">
        <f>(I265-I264)/I264</f>
        <v>-0.06071655041217495</v>
      </c>
    </row>
    <row r="267" spans="1:9" ht="12.75">
      <c r="A267" s="395" t="s">
        <v>428</v>
      </c>
      <c r="B267" s="394">
        <f>(B264-B243)/B243</f>
        <v>-1</v>
      </c>
      <c r="C267" s="394">
        <f>(C265-C243)/C243</f>
        <v>-0.88394584139265</v>
      </c>
      <c r="D267" s="394"/>
      <c r="E267" s="394">
        <f>(E265-E243)/E243</f>
        <v>-0.9235501838436054</v>
      </c>
      <c r="F267" s="394"/>
      <c r="G267" s="394">
        <f>(G265-G243)/G243</f>
        <v>-0.011627906976744186</v>
      </c>
      <c r="H267" s="394">
        <f>(H265-H243)/H243</f>
        <v>-0.2795257541419475</v>
      </c>
      <c r="I267" s="394">
        <f>(I265-I243)/I243</f>
        <v>0.03127594507520056</v>
      </c>
    </row>
    <row r="268" spans="1:10" ht="12.75">
      <c r="A268" s="670"/>
      <c r="J268" s="372"/>
    </row>
    <row r="269" spans="1:10" ht="12.75">
      <c r="A269" s="671" t="s">
        <v>97</v>
      </c>
      <c r="B269" s="1" t="s">
        <v>533</v>
      </c>
      <c r="C269" s="1"/>
      <c r="D269" s="1"/>
      <c r="E269" s="1"/>
      <c r="F269" s="1"/>
      <c r="G269" s="664"/>
      <c r="H269" s="664"/>
      <c r="I269" s="372"/>
      <c r="J269" s="372"/>
    </row>
    <row r="270" spans="1:10" ht="12.75">
      <c r="A270" s="393"/>
      <c r="B270" s="372" t="s">
        <v>857</v>
      </c>
      <c r="C270" s="372"/>
      <c r="D270" s="392"/>
      <c r="E270" s="372"/>
      <c r="F270" s="54"/>
      <c r="G270" s="372"/>
      <c r="H270" s="372"/>
      <c r="I270" s="372"/>
      <c r="J270" s="372"/>
    </row>
    <row r="271" spans="1:10" ht="12.75">
      <c r="A271" s="48"/>
      <c r="B271" s="29" t="s">
        <v>292</v>
      </c>
      <c r="C271" s="672"/>
      <c r="D271" s="673"/>
      <c r="E271" s="672"/>
      <c r="F271" s="29"/>
      <c r="G271" s="29"/>
      <c r="H271" s="672" t="s">
        <v>293</v>
      </c>
      <c r="I271" s="48"/>
      <c r="J271" s="26"/>
    </row>
    <row r="272" spans="1:7" ht="12.75">
      <c r="A272" s="666" t="s">
        <v>351</v>
      </c>
      <c r="C272" s="372"/>
      <c r="D272" s="392"/>
      <c r="E272" s="372"/>
      <c r="F272" s="372"/>
      <c r="G272" s="372"/>
    </row>
    <row r="273" ht="12.75">
      <c r="B273" s="372" t="s">
        <v>432</v>
      </c>
    </row>
    <row r="274" spans="1:10" ht="12.75">
      <c r="A274" s="54"/>
      <c r="C274" s="390"/>
      <c r="D274" s="390"/>
      <c r="E274" s="389"/>
      <c r="F274" s="389"/>
      <c r="G274" s="389"/>
      <c r="H274" s="26"/>
      <c r="I274" s="26"/>
      <c r="J274" s="26"/>
    </row>
    <row r="275" spans="8:10" ht="12.75">
      <c r="H275" s="54"/>
      <c r="I275" s="54"/>
      <c r="J275" s="54"/>
    </row>
    <row r="276" spans="1:10" ht="18">
      <c r="A276" s="1062" t="s">
        <v>291</v>
      </c>
      <c r="B276" s="391"/>
      <c r="C276" s="54"/>
      <c r="D276" s="54"/>
      <c r="E276" s="54"/>
      <c r="F276" s="54"/>
      <c r="G276" s="54"/>
      <c r="J276" s="26"/>
    </row>
    <row r="277" spans="1:10" ht="12.75">
      <c r="A277" s="54"/>
      <c r="C277" s="390"/>
      <c r="D277" s="390"/>
      <c r="E277" s="389"/>
      <c r="F277" s="389"/>
      <c r="G277" s="389"/>
      <c r="H277" s="26"/>
      <c r="I277" s="26"/>
      <c r="J277" s="26"/>
    </row>
    <row r="279" spans="1:8" ht="15.75">
      <c r="A279" s="388" t="s">
        <v>289</v>
      </c>
      <c r="B279" s="387" t="s">
        <v>826</v>
      </c>
      <c r="C279" s="70"/>
      <c r="D279" s="387"/>
      <c r="E279" s="387"/>
      <c r="F279" s="387"/>
      <c r="G279" s="387"/>
      <c r="H279" s="386"/>
    </row>
    <row r="280" spans="1:8" ht="12.75">
      <c r="A280" s="385"/>
      <c r="B280" s="545" t="s">
        <v>389</v>
      </c>
      <c r="C280" s="385"/>
      <c r="D280" s="385"/>
      <c r="E280" s="385"/>
      <c r="F280" s="385"/>
      <c r="G280" s="385"/>
      <c r="H280" s="385"/>
    </row>
    <row r="281" spans="1:8" ht="12.75">
      <c r="A281" s="384" t="s">
        <v>268</v>
      </c>
      <c r="B281" s="383" t="s">
        <v>288</v>
      </c>
      <c r="C281" s="383" t="s">
        <v>287</v>
      </c>
      <c r="D281" s="383" t="s">
        <v>286</v>
      </c>
      <c r="E281" s="382" t="s">
        <v>285</v>
      </c>
      <c r="F281" s="381" t="s">
        <v>273</v>
      </c>
      <c r="H281" s="374"/>
    </row>
    <row r="282" spans="1:8" ht="12.75">
      <c r="A282" s="380">
        <v>1990</v>
      </c>
      <c r="B282" s="378">
        <v>0.8677729700165525</v>
      </c>
      <c r="C282" s="378">
        <v>0.12571977741643794</v>
      </c>
      <c r="D282" s="378">
        <v>0.0059202387065032305</v>
      </c>
      <c r="E282" s="378">
        <v>0.0005870138605062391</v>
      </c>
      <c r="F282" s="377">
        <v>1</v>
      </c>
      <c r="H282" s="374"/>
    </row>
    <row r="283" spans="1:8" ht="12.75">
      <c r="A283" s="380">
        <v>1991</v>
      </c>
      <c r="B283" s="378">
        <v>0.832064478232112</v>
      </c>
      <c r="C283" s="378">
        <v>0.15793338865363113</v>
      </c>
      <c r="D283" s="378">
        <v>0.007063048913399383</v>
      </c>
      <c r="E283" s="378">
        <v>0.002939084200857434</v>
      </c>
      <c r="F283" s="377">
        <v>1</v>
      </c>
      <c r="H283" s="374"/>
    </row>
    <row r="284" spans="1:8" ht="12.75">
      <c r="A284" s="380">
        <v>1992</v>
      </c>
      <c r="B284" s="378">
        <v>0.816041548172505</v>
      </c>
      <c r="C284" s="378">
        <v>0.1769676111912027</v>
      </c>
      <c r="D284" s="378">
        <v>0.0061501909995885385</v>
      </c>
      <c r="E284" s="378">
        <v>0.0008406496367038738</v>
      </c>
      <c r="F284" s="377">
        <v>1</v>
      </c>
      <c r="H284" s="374"/>
    </row>
    <row r="285" spans="1:8" ht="12.75">
      <c r="A285" s="380">
        <v>1993</v>
      </c>
      <c r="B285" s="378">
        <v>0.7924867392631583</v>
      </c>
      <c r="C285" s="378">
        <v>0.19613167771128584</v>
      </c>
      <c r="D285" s="378">
        <v>0.008124885750314203</v>
      </c>
      <c r="E285" s="378">
        <v>0.0032566972752416296</v>
      </c>
      <c r="F285" s="377">
        <v>1</v>
      </c>
      <c r="H285" s="374"/>
    </row>
    <row r="286" spans="1:8" ht="12.75">
      <c r="A286" s="380">
        <v>1994</v>
      </c>
      <c r="B286" s="378">
        <v>0.7726467715556948</v>
      </c>
      <c r="C286" s="378">
        <v>0.2195622776542759</v>
      </c>
      <c r="D286" s="378">
        <v>0.006674283642008046</v>
      </c>
      <c r="E286" s="378">
        <v>0.001116667148021323</v>
      </c>
      <c r="F286" s="377">
        <v>1</v>
      </c>
      <c r="H286" s="374"/>
    </row>
    <row r="287" spans="1:8" ht="12.75">
      <c r="A287" s="380">
        <v>1995</v>
      </c>
      <c r="B287" s="378">
        <v>0.7770335292929075</v>
      </c>
      <c r="C287" s="378">
        <v>0.21334759830305852</v>
      </c>
      <c r="D287" s="378">
        <v>0.006218910510786697</v>
      </c>
      <c r="E287" s="378">
        <v>0.0033999618932472877</v>
      </c>
      <c r="F287" s="377">
        <v>1</v>
      </c>
      <c r="H287" s="374"/>
    </row>
    <row r="288" spans="1:8" ht="12.75">
      <c r="A288" s="380">
        <v>1996</v>
      </c>
      <c r="B288" s="378">
        <v>0.8078382416862391</v>
      </c>
      <c r="C288" s="378">
        <v>0.18573247496649306</v>
      </c>
      <c r="D288" s="378">
        <v>0.005140460810895168</v>
      </c>
      <c r="E288" s="378">
        <v>0.0033919163884234553</v>
      </c>
      <c r="F288" s="377">
        <v>1.0021030938520508</v>
      </c>
      <c r="H288" s="374"/>
    </row>
    <row r="289" spans="1:8" ht="12.75">
      <c r="A289" s="380">
        <v>1997</v>
      </c>
      <c r="B289" s="378">
        <v>0.8011874306213601</v>
      </c>
      <c r="C289" s="378">
        <v>0.19392637950881075</v>
      </c>
      <c r="D289" s="378">
        <v>0.004706571828707548</v>
      </c>
      <c r="E289" s="378">
        <v>0.004651408913399758</v>
      </c>
      <c r="F289" s="377">
        <v>1.0044717908722782</v>
      </c>
      <c r="H289" s="374"/>
    </row>
    <row r="290" spans="1:8" ht="12.75">
      <c r="A290" s="380">
        <v>1998</v>
      </c>
      <c r="B290" s="378">
        <v>0.7811282791643565</v>
      </c>
      <c r="C290" s="378">
        <v>0.20917357829500288</v>
      </c>
      <c r="D290" s="378">
        <v>0.004299931550691615</v>
      </c>
      <c r="E290" s="378">
        <v>0.005398210989948926</v>
      </c>
      <c r="F290" s="377">
        <v>1</v>
      </c>
      <c r="H290" s="374"/>
    </row>
    <row r="291" spans="1:8" ht="12.75">
      <c r="A291" s="380">
        <v>1999</v>
      </c>
      <c r="B291" s="378">
        <v>0.7706921004604204</v>
      </c>
      <c r="C291" s="378">
        <v>0.21971879862366592</v>
      </c>
      <c r="D291" s="378">
        <v>0.0036942796235528213</v>
      </c>
      <c r="E291" s="378">
        <v>0.005894821292360961</v>
      </c>
      <c r="F291" s="377">
        <v>1</v>
      </c>
      <c r="H291" s="374"/>
    </row>
    <row r="292" spans="1:8" ht="12.75">
      <c r="A292" s="380">
        <v>2000</v>
      </c>
      <c r="B292" s="378">
        <v>0.7494458968121299</v>
      </c>
      <c r="C292" s="378">
        <v>0.2418294449228308</v>
      </c>
      <c r="D292" s="378">
        <v>0.003053049599226385</v>
      </c>
      <c r="E292" s="378">
        <v>0.008657157368563874</v>
      </c>
      <c r="F292" s="377">
        <v>1.002985548702751</v>
      </c>
      <c r="H292" s="374"/>
    </row>
    <row r="293" spans="1:10" ht="12.75">
      <c r="A293" s="380">
        <v>2001</v>
      </c>
      <c r="B293" s="378">
        <v>0.7363344832231343</v>
      </c>
      <c r="C293" s="378">
        <v>0.2584692046714572</v>
      </c>
      <c r="D293" s="378">
        <v>0.002856056295545161</v>
      </c>
      <c r="E293" s="378">
        <v>0.005531233645313242</v>
      </c>
      <c r="F293" s="377">
        <v>1.00319097783545</v>
      </c>
      <c r="H293" s="374"/>
      <c r="J293" s="4"/>
    </row>
    <row r="294" spans="1:9" ht="12.75">
      <c r="A294" s="380">
        <v>2002</v>
      </c>
      <c r="B294" s="378">
        <v>0.7367603486111984</v>
      </c>
      <c r="C294" s="378">
        <v>0.25753803167713013</v>
      </c>
      <c r="D294" s="378">
        <v>0.0030252593645582865</v>
      </c>
      <c r="E294" s="378">
        <v>0.005855842219670215</v>
      </c>
      <c r="F294" s="377">
        <v>1.003179481872557</v>
      </c>
      <c r="H294" s="4"/>
      <c r="I294" s="4"/>
    </row>
    <row r="295" spans="1:8" ht="12.75">
      <c r="A295" s="380">
        <v>2003</v>
      </c>
      <c r="B295" s="378">
        <v>0.6936959469421269</v>
      </c>
      <c r="C295" s="378">
        <v>0.30165899333755253</v>
      </c>
      <c r="D295" s="378">
        <v>0.003034577187576369</v>
      </c>
      <c r="E295" s="378">
        <v>0.005334667635677023</v>
      </c>
      <c r="F295" s="377">
        <v>1.0037241851029328</v>
      </c>
      <c r="H295" s="374"/>
    </row>
    <row r="296" spans="1:6" ht="12.75">
      <c r="A296" s="380">
        <v>2004</v>
      </c>
      <c r="B296" s="378">
        <v>0.682</v>
      </c>
      <c r="C296" s="378">
        <v>0.309</v>
      </c>
      <c r="D296" s="378">
        <v>0.002</v>
      </c>
      <c r="E296" s="378">
        <v>0.007</v>
      </c>
      <c r="F296" s="377">
        <v>1</v>
      </c>
    </row>
    <row r="297" spans="1:6" ht="12.75">
      <c r="A297" s="379">
        <v>2005</v>
      </c>
      <c r="B297" s="378">
        <v>0.685</v>
      </c>
      <c r="C297" s="378">
        <v>0.306</v>
      </c>
      <c r="D297" s="378">
        <v>0.002</v>
      </c>
      <c r="E297" s="378">
        <v>0.007</v>
      </c>
      <c r="F297" s="377">
        <v>1</v>
      </c>
    </row>
    <row r="298" spans="1:8" ht="12.75">
      <c r="A298" s="379">
        <v>2006</v>
      </c>
      <c r="B298" s="376">
        <v>0.687</v>
      </c>
      <c r="C298" s="376">
        <v>0.305</v>
      </c>
      <c r="D298" s="376">
        <v>0.002</v>
      </c>
      <c r="E298" s="376">
        <v>0.006</v>
      </c>
      <c r="F298" s="375">
        <v>1</v>
      </c>
      <c r="H298" s="374"/>
    </row>
    <row r="299" spans="1:6" ht="12.75">
      <c r="A299" s="379">
        <v>2007</v>
      </c>
      <c r="B299" s="376">
        <v>0.6890000000000001</v>
      </c>
      <c r="C299" s="376">
        <v>0.299</v>
      </c>
      <c r="D299" s="376">
        <v>0.002</v>
      </c>
      <c r="E299" s="376">
        <v>0.009</v>
      </c>
      <c r="F299" s="375">
        <v>1</v>
      </c>
    </row>
    <row r="300" spans="1:6" ht="12.75">
      <c r="A300" s="379">
        <v>2008</v>
      </c>
      <c r="B300" s="372"/>
      <c r="C300" s="372"/>
      <c r="D300" s="372"/>
      <c r="E300" s="372"/>
      <c r="F300" s="371"/>
    </row>
    <row r="301" spans="1:6" ht="12.75">
      <c r="A301" s="379">
        <v>2009</v>
      </c>
      <c r="B301" s="372">
        <v>0.6809058260867488</v>
      </c>
      <c r="C301" s="372">
        <v>0.309196147367243</v>
      </c>
      <c r="D301" s="372">
        <v>0.002340401461016069</v>
      </c>
      <c r="E301" s="372">
        <v>0.007557625084992025</v>
      </c>
      <c r="F301" s="375">
        <v>1</v>
      </c>
    </row>
    <row r="302" spans="1:7" ht="12.75">
      <c r="A302" s="379">
        <v>2010</v>
      </c>
      <c r="B302" s="511">
        <v>0.6944767730584184</v>
      </c>
      <c r="C302" s="511">
        <v>0.2973269445790084</v>
      </c>
      <c r="D302" s="511">
        <v>0.0015473431393127843</v>
      </c>
      <c r="E302" s="511">
        <v>0.0066489392232604505</v>
      </c>
      <c r="F302" s="371">
        <v>1</v>
      </c>
      <c r="G302" s="54"/>
    </row>
    <row r="303" spans="1:7" ht="12.75">
      <c r="A303" s="379">
        <v>2011</v>
      </c>
      <c r="B303" s="511">
        <v>0.7042713338676109</v>
      </c>
      <c r="C303" s="511">
        <v>0.2850244288563676</v>
      </c>
      <c r="D303" s="511">
        <v>0.001201310775768627</v>
      </c>
      <c r="E303" s="511">
        <v>0.009502926500252988</v>
      </c>
      <c r="F303" s="371">
        <v>1</v>
      </c>
      <c r="G303" s="739"/>
    </row>
    <row r="304" spans="1:6" ht="12.75">
      <c r="A304" s="446">
        <v>2012</v>
      </c>
      <c r="B304" s="966">
        <v>0.711</v>
      </c>
      <c r="C304" s="503">
        <v>0.28</v>
      </c>
      <c r="D304" s="966">
        <v>0.001</v>
      </c>
      <c r="E304" s="503">
        <v>0.008</v>
      </c>
      <c r="F304" s="967">
        <v>1</v>
      </c>
    </row>
    <row r="306" spans="1:5" ht="12.75">
      <c r="A306" s="666" t="s">
        <v>21</v>
      </c>
      <c r="B306" s="4" t="s">
        <v>500</v>
      </c>
      <c r="C306" s="4"/>
      <c r="D306" s="4"/>
      <c r="E306" s="4"/>
    </row>
    <row r="307" spans="2:3" ht="12.75">
      <c r="B307" t="s">
        <v>499</v>
      </c>
      <c r="C307" s="4"/>
    </row>
    <row r="308" spans="2:6" ht="12.75">
      <c r="B308" s="389" t="s">
        <v>290</v>
      </c>
      <c r="C308" s="389"/>
      <c r="D308" s="389"/>
      <c r="E308" s="26"/>
      <c r="F308" s="26"/>
    </row>
    <row r="309" ht="12.75">
      <c r="B309" s="4"/>
    </row>
    <row r="310" ht="12.75">
      <c r="B310" s="4"/>
    </row>
    <row r="311" spans="1:8" ht="15.75">
      <c r="A311" s="370" t="s">
        <v>284</v>
      </c>
      <c r="B311" s="330" t="s">
        <v>823</v>
      </c>
      <c r="C311" s="330"/>
      <c r="D311" s="330"/>
      <c r="E311" s="330"/>
      <c r="F311" s="330"/>
      <c r="G311" s="330"/>
      <c r="H311" s="70"/>
    </row>
    <row r="312" spans="1:8" ht="12.75">
      <c r="A312" s="369"/>
      <c r="B312" s="354" t="s">
        <v>283</v>
      </c>
      <c r="C312" s="354" t="s">
        <v>283</v>
      </c>
      <c r="D312" s="354" t="s">
        <v>283</v>
      </c>
      <c r="E312" s="354" t="s">
        <v>283</v>
      </c>
      <c r="F312" s="354" t="s">
        <v>283</v>
      </c>
      <c r="G312" s="354" t="s">
        <v>282</v>
      </c>
      <c r="H312" s="57"/>
    </row>
    <row r="313" spans="1:8" ht="12.75">
      <c r="A313" s="368" t="s">
        <v>281</v>
      </c>
      <c r="B313" s="359" t="s">
        <v>0</v>
      </c>
      <c r="C313" s="359" t="s">
        <v>1</v>
      </c>
      <c r="D313" s="359" t="s">
        <v>280</v>
      </c>
      <c r="E313" s="359" t="s">
        <v>237</v>
      </c>
      <c r="F313" s="968" t="s">
        <v>279</v>
      </c>
      <c r="G313" s="359" t="s">
        <v>278</v>
      </c>
      <c r="H313" s="57"/>
    </row>
    <row r="314" spans="1:8" ht="12.75">
      <c r="A314" s="367" t="s">
        <v>277</v>
      </c>
      <c r="B314" s="350" t="s">
        <v>8</v>
      </c>
      <c r="C314" s="350" t="s">
        <v>8</v>
      </c>
      <c r="D314" s="350" t="s">
        <v>8</v>
      </c>
      <c r="E314" s="350" t="s">
        <v>8</v>
      </c>
      <c r="F314" s="350" t="s">
        <v>8</v>
      </c>
      <c r="G314" s="351" t="s">
        <v>276</v>
      </c>
      <c r="H314" s="57"/>
    </row>
    <row r="315" spans="1:8" ht="12.75">
      <c r="A315" s="364">
        <v>1990</v>
      </c>
      <c r="B315" s="363">
        <v>3022.55</v>
      </c>
      <c r="C315" s="363">
        <v>1368.912</v>
      </c>
      <c r="D315" s="363">
        <v>1.2499</v>
      </c>
      <c r="E315" s="363">
        <v>27.469</v>
      </c>
      <c r="F315" s="363">
        <v>4420.1809</v>
      </c>
      <c r="G315" s="366"/>
      <c r="H315" s="4" t="s">
        <v>824</v>
      </c>
    </row>
    <row r="316" spans="1:8" ht="12.75">
      <c r="A316" s="364">
        <v>1991</v>
      </c>
      <c r="B316" s="363">
        <v>2573.397</v>
      </c>
      <c r="C316" s="363">
        <v>1251.95</v>
      </c>
      <c r="D316" s="363">
        <v>0</v>
      </c>
      <c r="E316" s="363">
        <v>28.557</v>
      </c>
      <c r="F316" s="363">
        <v>3853.904</v>
      </c>
      <c r="G316" s="365">
        <v>-0.12811170239661465</v>
      </c>
      <c r="H316" s="4"/>
    </row>
    <row r="317" spans="1:8" ht="12.75">
      <c r="A317" s="364">
        <v>1992</v>
      </c>
      <c r="B317" s="363">
        <v>2374.044</v>
      </c>
      <c r="C317" s="363">
        <v>979.847</v>
      </c>
      <c r="D317" s="363">
        <v>31.935260115606937</v>
      </c>
      <c r="E317" s="363">
        <v>26.537923076923075</v>
      </c>
      <c r="F317" s="363">
        <v>3412.36418319253</v>
      </c>
      <c r="G317" s="365">
        <v>-0.11456949026428002</v>
      </c>
      <c r="H317" s="4"/>
    </row>
    <row r="318" spans="1:8" ht="12.75">
      <c r="A318" s="364">
        <v>1993</v>
      </c>
      <c r="B318" s="363">
        <v>2312.407</v>
      </c>
      <c r="C318" s="363">
        <v>948.611</v>
      </c>
      <c r="D318" s="363">
        <v>51.03464161849711</v>
      </c>
      <c r="E318" s="363">
        <v>31.539</v>
      </c>
      <c r="F318" s="363">
        <v>3343.5916416184973</v>
      </c>
      <c r="G318" s="365">
        <v>-0.02015392785821906</v>
      </c>
      <c r="H318" s="4"/>
    </row>
    <row r="319" spans="1:8" ht="12.75">
      <c r="A319" s="364">
        <v>1994</v>
      </c>
      <c r="B319" s="363">
        <v>2207.676</v>
      </c>
      <c r="C319" s="363">
        <v>1151.288</v>
      </c>
      <c r="D319" s="363">
        <v>60.55702861271676</v>
      </c>
      <c r="E319" s="363">
        <v>23.961</v>
      </c>
      <c r="F319" s="363">
        <v>3443.482028612717</v>
      </c>
      <c r="G319" s="365">
        <v>0.029875175470251723</v>
      </c>
      <c r="H319" s="4"/>
    </row>
    <row r="320" spans="1:8" ht="12.75">
      <c r="A320" s="364">
        <v>1995</v>
      </c>
      <c r="B320" s="363">
        <v>2184.922033529293</v>
      </c>
      <c r="C320" s="363">
        <v>1186.061347598303</v>
      </c>
      <c r="D320" s="363">
        <v>57.00893567351657</v>
      </c>
      <c r="E320" s="363">
        <v>35.94227279426319</v>
      </c>
      <c r="F320" s="363">
        <v>3463.9345895953757</v>
      </c>
      <c r="G320" s="365">
        <v>0.005939499847164439</v>
      </c>
      <c r="H320" s="4"/>
    </row>
    <row r="321" spans="1:8" ht="12.75">
      <c r="A321" s="364">
        <v>1996</v>
      </c>
      <c r="B321" s="363">
        <v>2210.5298382416863</v>
      </c>
      <c r="C321" s="363">
        <v>1156.6948324749665</v>
      </c>
      <c r="D321" s="363">
        <v>72.33602890011726</v>
      </c>
      <c r="E321" s="363">
        <v>27.974791916388423</v>
      </c>
      <c r="F321" s="363">
        <v>3467.5354915331586</v>
      </c>
      <c r="G321" s="365">
        <v>0.0010395409741855398</v>
      </c>
      <c r="H321" s="4"/>
    </row>
    <row r="322" spans="1:8" ht="12.75">
      <c r="A322" s="364">
        <v>1997</v>
      </c>
      <c r="B322" s="363">
        <v>2132.4000415481723</v>
      </c>
      <c r="C322" s="363">
        <v>1153.8489676111913</v>
      </c>
      <c r="D322" s="363">
        <v>93.57885019099959</v>
      </c>
      <c r="E322" s="363">
        <v>8.899440649636704</v>
      </c>
      <c r="F322" s="363">
        <v>3388.7273</v>
      </c>
      <c r="G322" s="365">
        <v>-0.022727436164846244</v>
      </c>
      <c r="H322" s="4"/>
    </row>
    <row r="323" spans="1:8" ht="12.75">
      <c r="A323" s="364">
        <v>1998</v>
      </c>
      <c r="B323" s="363">
        <v>1974.9484867392632</v>
      </c>
      <c r="C323" s="363">
        <v>1143.8421316777112</v>
      </c>
      <c r="D323" s="363">
        <v>115.20152488575032</v>
      </c>
      <c r="E323" s="363">
        <v>7.745286697275241</v>
      </c>
      <c r="F323" s="363">
        <v>3241.7374299999997</v>
      </c>
      <c r="G323" s="365">
        <v>-0.04337612825912558</v>
      </c>
      <c r="H323" s="4"/>
    </row>
    <row r="324" spans="1:8" ht="12.75">
      <c r="A324" s="364">
        <v>1999</v>
      </c>
      <c r="B324" s="363">
        <v>1899.7666467715558</v>
      </c>
      <c r="C324" s="340">
        <v>1086</v>
      </c>
      <c r="D324" s="363">
        <v>107.016674283642</v>
      </c>
      <c r="E324" s="363">
        <v>5.995366667148021</v>
      </c>
      <c r="F324" s="363">
        <v>3098.7786877223457</v>
      </c>
      <c r="G324" s="365">
        <v>-0.044099420562156384</v>
      </c>
      <c r="H324" s="4"/>
    </row>
    <row r="325" spans="1:8" ht="12.75">
      <c r="A325" s="364">
        <v>2000</v>
      </c>
      <c r="B325" s="363">
        <v>2139.389</v>
      </c>
      <c r="C325" s="363">
        <v>566.644</v>
      </c>
      <c r="D325" s="363">
        <v>128.9258</v>
      </c>
      <c r="E325" s="363">
        <v>10.93939</v>
      </c>
      <c r="F325" s="363">
        <v>2845.8981900000003</v>
      </c>
      <c r="G325" s="365">
        <v>-0.08160650475759428</v>
      </c>
      <c r="H325" s="4"/>
    </row>
    <row r="326" spans="1:8" ht="12.75">
      <c r="A326" s="364">
        <v>2001</v>
      </c>
      <c r="B326" s="363">
        <v>1982.355</v>
      </c>
      <c r="C326" s="363">
        <v>465.14599999999996</v>
      </c>
      <c r="D326" s="363">
        <v>119.4022</v>
      </c>
      <c r="E326" s="363">
        <v>13.326080000000001</v>
      </c>
      <c r="F326" s="363">
        <v>2580.22928</v>
      </c>
      <c r="G326" s="365">
        <v>-0.09335151585306721</v>
      </c>
      <c r="H326" s="4"/>
    </row>
    <row r="327" spans="1:8" ht="12.75">
      <c r="A327" s="364">
        <v>2002</v>
      </c>
      <c r="B327" s="363">
        <v>2114.894</v>
      </c>
      <c r="C327" s="363">
        <v>494.739</v>
      </c>
      <c r="D327" s="363">
        <v>126.55425</v>
      </c>
      <c r="E327" s="363">
        <v>18.45031</v>
      </c>
      <c r="F327" s="363">
        <v>2754.63756</v>
      </c>
      <c r="G327" s="365">
        <v>0.06759410155984281</v>
      </c>
      <c r="H327" s="4"/>
    </row>
    <row r="328" spans="1:8" ht="12.75">
      <c r="A328" s="364">
        <v>2003</v>
      </c>
      <c r="B328" s="363">
        <v>1928.263</v>
      </c>
      <c r="C328" s="363">
        <v>483.981</v>
      </c>
      <c r="D328" s="363">
        <v>112.6625</v>
      </c>
      <c r="E328" s="363">
        <v>14.550700000000003</v>
      </c>
      <c r="F328" s="363">
        <v>2539.4571999999994</v>
      </c>
      <c r="G328" s="365">
        <v>-0.07811567050585078</v>
      </c>
      <c r="H328" s="4"/>
    </row>
    <row r="329" spans="1:8" ht="12.75">
      <c r="A329" s="364">
        <v>2004</v>
      </c>
      <c r="B329" s="363">
        <v>1947</v>
      </c>
      <c r="C329" s="363">
        <v>443</v>
      </c>
      <c r="D329" s="363">
        <v>112</v>
      </c>
      <c r="E329" s="363">
        <v>19</v>
      </c>
      <c r="F329" s="61">
        <f>SUM(B329:E329)</f>
        <v>2521</v>
      </c>
      <c r="G329" s="360">
        <f>(F329-F328)/F328</f>
        <v>-0.007268167386321526</v>
      </c>
      <c r="H329" s="4"/>
    </row>
    <row r="330" spans="1:8" ht="12.75">
      <c r="A330" s="359">
        <v>2005</v>
      </c>
      <c r="B330" s="362">
        <v>1954</v>
      </c>
      <c r="C330" s="348">
        <v>429</v>
      </c>
      <c r="D330" s="348">
        <v>93</v>
      </c>
      <c r="E330" s="348">
        <f>F330-B330-C330-D330</f>
        <v>37</v>
      </c>
      <c r="F330" s="30">
        <v>2513</v>
      </c>
      <c r="G330" s="360">
        <f>(F330-F329)/F329</f>
        <v>-0.0031733439111463705</v>
      </c>
      <c r="H330" s="4"/>
    </row>
    <row r="331" spans="1:8" ht="12.75">
      <c r="A331" s="359">
        <v>2006</v>
      </c>
      <c r="B331" s="361">
        <v>1973.6</v>
      </c>
      <c r="C331" s="344">
        <v>427.6</v>
      </c>
      <c r="D331" s="344">
        <v>104.3</v>
      </c>
      <c r="E331" s="344">
        <v>34</v>
      </c>
      <c r="F331" s="214">
        <v>2539.4</v>
      </c>
      <c r="G331" s="360">
        <f>(F331-F329)/F329</f>
        <v>0.007298690995636689</v>
      </c>
      <c r="H331" s="4"/>
    </row>
    <row r="332" spans="1:8" ht="12.75">
      <c r="A332" s="359">
        <v>2007</v>
      </c>
      <c r="B332" s="362">
        <v>1911.5</v>
      </c>
      <c r="C332" s="348">
        <v>438.1</v>
      </c>
      <c r="D332" s="348">
        <v>106</v>
      </c>
      <c r="E332" s="348">
        <v>47</v>
      </c>
      <c r="F332" s="30">
        <v>2502.6</v>
      </c>
      <c r="G332" s="360">
        <f>(F332-F331)/F331</f>
        <v>-0.014491612191856415</v>
      </c>
      <c r="H332" s="4"/>
    </row>
    <row r="333" spans="1:8" ht="12.75">
      <c r="A333" s="359">
        <v>2008</v>
      </c>
      <c r="B333" s="362"/>
      <c r="C333" s="348"/>
      <c r="D333" s="348"/>
      <c r="E333" s="348"/>
      <c r="G333" s="620"/>
      <c r="H333" s="4"/>
    </row>
    <row r="334" spans="1:8" ht="12.75">
      <c r="A334" s="359">
        <v>2009</v>
      </c>
      <c r="B334" s="362">
        <v>1819.4959999999999</v>
      </c>
      <c r="C334" s="348">
        <v>453.38899999999995</v>
      </c>
      <c r="D334" s="348">
        <v>122.051</v>
      </c>
      <c r="E334" s="348">
        <v>62.172920000000005</v>
      </c>
      <c r="F334" s="30">
        <v>2457.1317200000003</v>
      </c>
      <c r="G334" s="360"/>
      <c r="H334" s="4"/>
    </row>
    <row r="335" spans="1:8" ht="12.75">
      <c r="A335" s="359">
        <v>2010</v>
      </c>
      <c r="B335" s="469">
        <v>1735.3909999999998</v>
      </c>
      <c r="C335" s="30">
        <v>434.90700000000004</v>
      </c>
      <c r="D335" s="30">
        <v>120.475</v>
      </c>
      <c r="E335" s="30">
        <v>51.1094</v>
      </c>
      <c r="F335" s="30">
        <v>2341.8824</v>
      </c>
      <c r="G335" s="360">
        <f>(F335-F334)/F334</f>
        <v>-0.046904005618388395</v>
      </c>
      <c r="H335" s="4"/>
    </row>
    <row r="336" spans="1:8" ht="12.75">
      <c r="A336" s="359">
        <v>2011</v>
      </c>
      <c r="B336" s="469">
        <v>1519</v>
      </c>
      <c r="C336" s="30">
        <v>428.9</v>
      </c>
      <c r="D336" s="30">
        <v>115.25</v>
      </c>
      <c r="E336" s="30">
        <v>62.308</v>
      </c>
      <c r="F336" s="30">
        <f>SUM(B336:E336)</f>
        <v>2125.458</v>
      </c>
      <c r="G336" s="360">
        <f>(F336-F335)/F335</f>
        <v>-0.09241471732312428</v>
      </c>
      <c r="H336" s="4"/>
    </row>
    <row r="337" spans="1:8" ht="12.75">
      <c r="A337" s="359">
        <v>2012</v>
      </c>
      <c r="B337" s="933">
        <v>1503</v>
      </c>
      <c r="C337" s="39">
        <v>443</v>
      </c>
      <c r="D337" s="39">
        <v>95</v>
      </c>
      <c r="E337" s="39">
        <v>51</v>
      </c>
      <c r="F337" s="30">
        <f>SUM(B337:E337)</f>
        <v>2092</v>
      </c>
      <c r="G337" s="360">
        <f>(F337-F336)/F336</f>
        <v>-0.015741548409801596</v>
      </c>
      <c r="H337" s="4"/>
    </row>
    <row r="338" spans="1:8" ht="12.75">
      <c r="A338" s="359"/>
      <c r="B338" s="30"/>
      <c r="C338" s="30"/>
      <c r="D338" s="30"/>
      <c r="E338" s="30"/>
      <c r="F338" s="30"/>
      <c r="G338" s="372"/>
      <c r="H338" s="4"/>
    </row>
    <row r="339" spans="1:8" ht="12.75">
      <c r="A339" s="1063"/>
      <c r="B339" s="30"/>
      <c r="C339" s="30"/>
      <c r="D339" s="30"/>
      <c r="E339" s="30"/>
      <c r="F339" s="30"/>
      <c r="G339" s="372"/>
      <c r="H339" s="4"/>
    </row>
    <row r="340" spans="1:10" ht="15.75">
      <c r="A340" s="358" t="s">
        <v>275</v>
      </c>
      <c r="B340" s="357" t="s">
        <v>274</v>
      </c>
      <c r="C340" s="357"/>
      <c r="D340" s="357"/>
      <c r="E340" s="357"/>
      <c r="F340" s="357"/>
      <c r="G340" s="357"/>
      <c r="H340" s="357"/>
      <c r="I340" s="54"/>
      <c r="J340" s="54"/>
    </row>
    <row r="341" spans="1:8" ht="12.75">
      <c r="A341" s="356" t="s">
        <v>5</v>
      </c>
      <c r="B341" s="355" t="s">
        <v>0</v>
      </c>
      <c r="C341" s="354" t="s">
        <v>1</v>
      </c>
      <c r="D341" s="354" t="s">
        <v>267</v>
      </c>
      <c r="E341" s="354" t="s">
        <v>237</v>
      </c>
      <c r="F341" s="353" t="s">
        <v>273</v>
      </c>
      <c r="G341" s="354" t="s">
        <v>282</v>
      </c>
      <c r="H341" s="352"/>
    </row>
    <row r="342" spans="1:8" ht="12.75">
      <c r="A342" s="342" t="s">
        <v>272</v>
      </c>
      <c r="B342" s="351" t="s">
        <v>7</v>
      </c>
      <c r="C342" s="350" t="s">
        <v>7</v>
      </c>
      <c r="D342" s="350" t="s">
        <v>7</v>
      </c>
      <c r="E342" s="350" t="s">
        <v>7</v>
      </c>
      <c r="F342" s="349" t="s">
        <v>7</v>
      </c>
      <c r="G342" s="359" t="s">
        <v>494</v>
      </c>
      <c r="H342" s="95"/>
    </row>
    <row r="343" spans="1:8" ht="12.75">
      <c r="A343" s="345">
        <v>1994</v>
      </c>
      <c r="B343" s="348">
        <v>2428.352</v>
      </c>
      <c r="C343" s="348">
        <v>880.82</v>
      </c>
      <c r="D343" s="348">
        <v>68.778</v>
      </c>
      <c r="E343" s="348">
        <v>0</v>
      </c>
      <c r="F343" s="347">
        <v>3377.95</v>
      </c>
      <c r="G343" s="667"/>
      <c r="H343" t="s">
        <v>825</v>
      </c>
    </row>
    <row r="344" spans="1:7" ht="12.75">
      <c r="A344" s="345">
        <v>1995</v>
      </c>
      <c r="B344" s="348">
        <v>2424.825</v>
      </c>
      <c r="C344" s="348">
        <v>927.522</v>
      </c>
      <c r="D344" s="348">
        <v>59.318</v>
      </c>
      <c r="E344" s="348"/>
      <c r="F344" s="347">
        <v>3411.665</v>
      </c>
      <c r="G344" s="360">
        <f>(F344-F343)/F343</f>
        <v>0.009980905578827439</v>
      </c>
    </row>
    <row r="345" spans="1:7" ht="12.75">
      <c r="A345" s="345">
        <v>1996</v>
      </c>
      <c r="B345" s="348">
        <v>2529.14</v>
      </c>
      <c r="C345" s="348">
        <v>959.969</v>
      </c>
      <c r="D345" s="348">
        <v>83.221</v>
      </c>
      <c r="E345" s="348">
        <v>10.299</v>
      </c>
      <c r="F345" s="347">
        <v>3582.629</v>
      </c>
      <c r="G345" s="360">
        <f aca="true" t="shared" si="16" ref="G345:G359">(F345-F344)/F344</f>
        <v>0.05011160239941493</v>
      </c>
    </row>
    <row r="346" spans="1:7" ht="12.75">
      <c r="A346" s="345">
        <v>1997</v>
      </c>
      <c r="B346" s="348">
        <v>2432</v>
      </c>
      <c r="C346" s="348">
        <v>931.847</v>
      </c>
      <c r="D346" s="348">
        <v>109.912</v>
      </c>
      <c r="E346" s="348">
        <v>10</v>
      </c>
      <c r="F346" s="347">
        <v>3483.7589999999996</v>
      </c>
      <c r="G346" s="360">
        <f t="shared" si="16"/>
        <v>-0.027597052332239913</v>
      </c>
    </row>
    <row r="347" spans="1:7" ht="12.75">
      <c r="A347" s="345">
        <v>1998</v>
      </c>
      <c r="B347" s="348">
        <v>2301.1148</v>
      </c>
      <c r="C347" s="348">
        <v>833</v>
      </c>
      <c r="D347" s="348">
        <v>157.7536</v>
      </c>
      <c r="E347" s="348">
        <v>8.21742</v>
      </c>
      <c r="F347" s="347">
        <v>3300.08582</v>
      </c>
      <c r="G347" s="360">
        <f t="shared" si="16"/>
        <v>-0.05272269981936173</v>
      </c>
    </row>
    <row r="348" spans="1:7" ht="12.75">
      <c r="A348" s="345">
        <v>1999</v>
      </c>
      <c r="B348" s="348">
        <v>2229.583</v>
      </c>
      <c r="C348" s="348">
        <v>830.204</v>
      </c>
      <c r="D348" s="348">
        <v>148.469</v>
      </c>
      <c r="E348" s="348">
        <v>6.95</v>
      </c>
      <c r="F348" s="347">
        <v>3215.206</v>
      </c>
      <c r="G348" s="360">
        <f t="shared" si="16"/>
        <v>-0.025720488687169855</v>
      </c>
    </row>
    <row r="349" spans="1:7" ht="12.75">
      <c r="A349" s="345">
        <v>2000</v>
      </c>
      <c r="B349" s="348">
        <v>2170</v>
      </c>
      <c r="C349" s="348">
        <v>420.8</v>
      </c>
      <c r="D349" s="348">
        <v>128</v>
      </c>
      <c r="E349" s="348">
        <v>3</v>
      </c>
      <c r="F349" s="347">
        <v>2721.8</v>
      </c>
      <c r="G349" s="360">
        <f t="shared" si="16"/>
        <v>-0.15346015154238948</v>
      </c>
    </row>
    <row r="350" spans="1:7" ht="12.75">
      <c r="A350" s="345">
        <v>2001</v>
      </c>
      <c r="B350" s="348">
        <v>1956</v>
      </c>
      <c r="C350" s="348">
        <v>426</v>
      </c>
      <c r="D350" s="348">
        <v>132</v>
      </c>
      <c r="E350" s="348">
        <v>6.6</v>
      </c>
      <c r="F350" s="347">
        <v>2520.6</v>
      </c>
      <c r="G350" s="360">
        <f t="shared" si="16"/>
        <v>-0.07392166948343018</v>
      </c>
    </row>
    <row r="351" spans="1:7" ht="12.75">
      <c r="A351" s="345">
        <v>2002</v>
      </c>
      <c r="B351" s="348">
        <v>2060</v>
      </c>
      <c r="C351" s="348">
        <v>458</v>
      </c>
      <c r="D351" s="348">
        <v>139</v>
      </c>
      <c r="E351" s="348">
        <v>13</v>
      </c>
      <c r="F351" s="347">
        <v>2670</v>
      </c>
      <c r="G351" s="360">
        <f t="shared" si="16"/>
        <v>0.059271601999523964</v>
      </c>
    </row>
    <row r="352" spans="1:7" ht="12.75">
      <c r="A352" s="345">
        <v>2003</v>
      </c>
      <c r="B352" s="348">
        <v>2038.92</v>
      </c>
      <c r="C352" s="348">
        <v>407.355</v>
      </c>
      <c r="D352" s="348">
        <v>133.944</v>
      </c>
      <c r="E352" s="348">
        <v>0.745</v>
      </c>
      <c r="F352" s="347">
        <v>2580.219</v>
      </c>
      <c r="G352" s="360">
        <f t="shared" si="16"/>
        <v>-0.033625842696629195</v>
      </c>
    </row>
    <row r="353" spans="1:7" ht="12.75">
      <c r="A353" s="345">
        <v>2004</v>
      </c>
      <c r="B353" s="344">
        <v>1809</v>
      </c>
      <c r="C353" s="344">
        <v>400</v>
      </c>
      <c r="D353" s="344">
        <v>93</v>
      </c>
      <c r="E353" s="344">
        <v>18</v>
      </c>
      <c r="F353" s="346">
        <v>2331</v>
      </c>
      <c r="G353" s="360">
        <f t="shared" si="16"/>
        <v>-0.0965883128525137</v>
      </c>
    </row>
    <row r="354" spans="1:7" ht="12.75">
      <c r="A354" s="345">
        <v>2005</v>
      </c>
      <c r="B354" s="344">
        <v>1792</v>
      </c>
      <c r="C354" s="344">
        <v>393.7</v>
      </c>
      <c r="D354" s="344">
        <v>126</v>
      </c>
      <c r="E354" s="344">
        <f>F354-B354-C354-D354</f>
        <v>23.30000000000001</v>
      </c>
      <c r="F354" s="346">
        <v>2335</v>
      </c>
      <c r="G354" s="360">
        <f t="shared" si="16"/>
        <v>0.001716001716001716</v>
      </c>
    </row>
    <row r="355" spans="1:7" ht="12.75">
      <c r="A355" s="345">
        <v>2006</v>
      </c>
      <c r="B355" s="344">
        <v>1787</v>
      </c>
      <c r="C355" s="344">
        <v>396</v>
      </c>
      <c r="D355" s="344">
        <v>137</v>
      </c>
      <c r="E355" s="344">
        <v>25</v>
      </c>
      <c r="F355" s="343">
        <v>2345</v>
      </c>
      <c r="G355" s="360">
        <f t="shared" si="16"/>
        <v>0.004282655246252677</v>
      </c>
    </row>
    <row r="356" spans="1:7" ht="12.75">
      <c r="A356" s="345">
        <v>2007</v>
      </c>
      <c r="B356" s="344">
        <v>1745</v>
      </c>
      <c r="C356" s="344">
        <v>412</v>
      </c>
      <c r="D356" s="344">
        <v>141</v>
      </c>
      <c r="E356" s="344">
        <v>35</v>
      </c>
      <c r="F356" s="343">
        <v>2350</v>
      </c>
      <c r="G356" s="360">
        <f t="shared" si="16"/>
        <v>0.0021321961620469083</v>
      </c>
    </row>
    <row r="357" spans="1:7" ht="12.75">
      <c r="A357" s="345">
        <v>2008</v>
      </c>
      <c r="B357" s="344"/>
      <c r="C357" s="344"/>
      <c r="D357" s="344"/>
      <c r="E357" s="344"/>
      <c r="F357" s="344">
        <v>2328</v>
      </c>
      <c r="G357" s="668"/>
    </row>
    <row r="358" spans="1:7" ht="12.75">
      <c r="A358" s="345">
        <v>2009</v>
      </c>
      <c r="B358" s="344">
        <v>1683.984</v>
      </c>
      <c r="C358" s="344">
        <v>416.185</v>
      </c>
      <c r="D358" s="344">
        <v>167.608</v>
      </c>
      <c r="E358" s="344">
        <v>38.53785714285728</v>
      </c>
      <c r="F358" s="344">
        <f>SUM(B358:E358)</f>
        <v>2306.3148571428574</v>
      </c>
      <c r="G358" s="668">
        <f t="shared" si="16"/>
        <v>-0.009314923907707318</v>
      </c>
    </row>
    <row r="359" spans="1:7" ht="12.75">
      <c r="A359" s="345">
        <v>2010</v>
      </c>
      <c r="B359" s="527">
        <v>1614</v>
      </c>
      <c r="C359" s="527">
        <v>401.478</v>
      </c>
      <c r="D359" s="527">
        <v>168</v>
      </c>
      <c r="E359" s="527">
        <v>36.434</v>
      </c>
      <c r="F359" s="469">
        <v>2220</v>
      </c>
      <c r="G359" s="668">
        <f t="shared" si="16"/>
        <v>-0.037425443831111245</v>
      </c>
    </row>
    <row r="360" spans="1:7" ht="12.75">
      <c r="A360" s="345">
        <v>2011</v>
      </c>
      <c r="B360" s="527">
        <v>1476.7</v>
      </c>
      <c r="C360" s="527">
        <v>413.7</v>
      </c>
      <c r="D360" s="527">
        <v>161.1</v>
      </c>
      <c r="E360" s="527">
        <v>31.1</v>
      </c>
      <c r="F360" s="469">
        <v>2082.8</v>
      </c>
      <c r="G360" s="668">
        <f>(F360-F359)/F359</f>
        <v>-0.06180180180180172</v>
      </c>
    </row>
    <row r="361" spans="1:9" ht="12.75">
      <c r="A361" s="345">
        <v>2012</v>
      </c>
      <c r="B361" s="527">
        <v>1446</v>
      </c>
      <c r="C361" s="527">
        <v>410</v>
      </c>
      <c r="D361" s="527">
        <v>129</v>
      </c>
      <c r="E361" s="527">
        <v>31</v>
      </c>
      <c r="F361" s="363">
        <v>2017</v>
      </c>
      <c r="G361" s="668">
        <f>(F361-F360)/F360</f>
        <v>-0.031592087574419135</v>
      </c>
      <c r="H361" s="340"/>
      <c r="I361" s="4"/>
    </row>
    <row r="362" spans="1:9" ht="12.75">
      <c r="A362" s="359"/>
      <c r="B362" s="30"/>
      <c r="C362" s="30"/>
      <c r="D362" s="30"/>
      <c r="E362" s="30"/>
      <c r="F362" s="363"/>
      <c r="G362" s="372"/>
      <c r="H362" s="340"/>
      <c r="I362" s="4"/>
    </row>
    <row r="363" spans="1:9" ht="12.75">
      <c r="A363" s="389"/>
      <c r="B363" s="340"/>
      <c r="C363" s="340"/>
      <c r="D363" s="340"/>
      <c r="E363" s="340"/>
      <c r="F363" s="341"/>
      <c r="G363" s="340"/>
      <c r="H363" s="340"/>
      <c r="I363" s="4"/>
    </row>
    <row r="364" spans="1:9" ht="15.75">
      <c r="A364" s="339" t="s">
        <v>271</v>
      </c>
      <c r="B364" s="338" t="s">
        <v>270</v>
      </c>
      <c r="C364" s="70"/>
      <c r="D364" s="330"/>
      <c r="E364" s="330"/>
      <c r="F364" s="330"/>
      <c r="G364" s="330"/>
      <c r="H364" s="330"/>
      <c r="I364" s="4"/>
    </row>
    <row r="365" spans="1:8" ht="15.75">
      <c r="A365" s="329" t="s">
        <v>268</v>
      </c>
      <c r="B365" s="328" t="s">
        <v>0</v>
      </c>
      <c r="C365" s="328" t="s">
        <v>1</v>
      </c>
      <c r="D365" s="328" t="s">
        <v>267</v>
      </c>
      <c r="E365" s="327" t="s">
        <v>266</v>
      </c>
      <c r="F365" s="326" t="s">
        <v>265</v>
      </c>
      <c r="G365" s="324" t="s">
        <v>806</v>
      </c>
      <c r="H365" s="321"/>
    </row>
    <row r="366" spans="1:8" ht="15.75">
      <c r="A366" s="621">
        <v>1994</v>
      </c>
      <c r="B366" s="622">
        <v>0.7188833464083245</v>
      </c>
      <c r="C366" s="337">
        <v>0.2607557838333901</v>
      </c>
      <c r="D366" s="337">
        <v>0.020360869758285355</v>
      </c>
      <c r="E366" s="337">
        <v>0</v>
      </c>
      <c r="F366" s="335">
        <v>1</v>
      </c>
      <c r="G366" s="321"/>
      <c r="H366" s="324"/>
    </row>
    <row r="367" spans="1:8" ht="12.75">
      <c r="A367" s="621">
        <v>1995</v>
      </c>
      <c r="B367" s="623">
        <v>0.7107453398853638</v>
      </c>
      <c r="C367" s="337">
        <v>0.2718678416550277</v>
      </c>
      <c r="D367" s="337">
        <v>0.01738681845960843</v>
      </c>
      <c r="E367" s="336">
        <v>0</v>
      </c>
      <c r="F367" s="335">
        <v>1</v>
      </c>
      <c r="G367" s="321"/>
      <c r="H367" s="321"/>
    </row>
    <row r="368" spans="1:8" ht="12.75">
      <c r="A368" s="621">
        <v>1996</v>
      </c>
      <c r="B368" s="623">
        <v>0.7059452709169719</v>
      </c>
      <c r="C368" s="337">
        <v>0.2679509935301702</v>
      </c>
      <c r="D368" s="337">
        <v>0.023229030971390004</v>
      </c>
      <c r="E368" s="336">
        <v>0.0028747045814679667</v>
      </c>
      <c r="F368" s="335">
        <v>1</v>
      </c>
      <c r="G368" s="321"/>
      <c r="H368" s="321"/>
    </row>
    <row r="369" spans="1:8" ht="12.75">
      <c r="A369" s="621">
        <v>1997</v>
      </c>
      <c r="B369" s="623">
        <v>0.6980965101202466</v>
      </c>
      <c r="C369" s="337">
        <v>0.26748319846464697</v>
      </c>
      <c r="D369" s="337">
        <v>0.031549828791256805</v>
      </c>
      <c r="E369" s="336">
        <v>0.0028704626238496983</v>
      </c>
      <c r="F369" s="335">
        <v>1</v>
      </c>
      <c r="G369" s="321"/>
      <c r="H369" s="321"/>
    </row>
    <row r="370" spans="1:8" ht="12.75">
      <c r="A370" s="621">
        <v>1998</v>
      </c>
      <c r="B370" s="623">
        <v>0.6972893814016025</v>
      </c>
      <c r="C370" s="337">
        <v>0.2524176780348094</v>
      </c>
      <c r="D370" s="337">
        <v>0.04780287804757757</v>
      </c>
      <c r="E370" s="336">
        <v>0.002490062516010569</v>
      </c>
      <c r="F370" s="335">
        <v>1</v>
      </c>
      <c r="G370" s="321"/>
      <c r="H370" s="321"/>
    </row>
    <row r="371" spans="1:8" ht="12.75">
      <c r="A371" s="621">
        <v>1999</v>
      </c>
      <c r="B371" s="623">
        <v>0.6934495021469853</v>
      </c>
      <c r="C371" s="337">
        <v>0.2582117599929833</v>
      </c>
      <c r="D371" s="337">
        <v>0.046177134528860665</v>
      </c>
      <c r="E371" s="336">
        <v>0.002161603331170693</v>
      </c>
      <c r="F371" s="335">
        <v>1</v>
      </c>
      <c r="G371" s="321"/>
      <c r="H371" s="321"/>
    </row>
    <row r="372" spans="1:8" ht="12.75">
      <c r="A372" s="621">
        <v>2000</v>
      </c>
      <c r="B372" s="623">
        <v>0.7972665148063781</v>
      </c>
      <c r="C372" s="337">
        <v>0.15460357116614004</v>
      </c>
      <c r="D372" s="337">
        <v>0.04702770225586009</v>
      </c>
      <c r="E372" s="336">
        <v>0.0011022117716217208</v>
      </c>
      <c r="F372" s="335">
        <v>1</v>
      </c>
      <c r="G372" s="321"/>
      <c r="H372" s="321"/>
    </row>
    <row r="373" spans="1:8" ht="12.75">
      <c r="A373" s="621">
        <v>2001</v>
      </c>
      <c r="B373" s="623">
        <v>0.7760057129254939</v>
      </c>
      <c r="C373" s="337">
        <v>0.16900737919542966</v>
      </c>
      <c r="D373" s="337">
        <v>0.05236848369435849</v>
      </c>
      <c r="E373" s="336">
        <v>0.0026184241847179244</v>
      </c>
      <c r="F373" s="335">
        <v>1</v>
      </c>
      <c r="G373" s="321"/>
      <c r="H373" s="321"/>
    </row>
    <row r="374" spans="1:8" ht="12.75">
      <c r="A374" s="621">
        <v>2002</v>
      </c>
      <c r="B374" s="623">
        <v>0.7715355805243446</v>
      </c>
      <c r="C374" s="337">
        <v>0.17153558052434456</v>
      </c>
      <c r="D374" s="337">
        <v>0.052059925093632956</v>
      </c>
      <c r="E374" s="336">
        <v>0.0048689138576779025</v>
      </c>
      <c r="F374" s="335">
        <v>1</v>
      </c>
      <c r="G374" s="321"/>
      <c r="H374" s="321"/>
    </row>
    <row r="375" spans="1:8" ht="12.75">
      <c r="A375" s="621">
        <v>2003</v>
      </c>
      <c r="B375" s="623">
        <v>0.7902119936330986</v>
      </c>
      <c r="C375" s="337">
        <v>0.15787613377004045</v>
      </c>
      <c r="D375" s="337">
        <v>0.05191187259686096</v>
      </c>
      <c r="E375" s="336">
        <v>0</v>
      </c>
      <c r="F375" s="335">
        <v>1</v>
      </c>
      <c r="G375" s="321"/>
      <c r="H375" s="321"/>
    </row>
    <row r="376" spans="1:8" ht="12.75">
      <c r="A376" s="621">
        <v>2004</v>
      </c>
      <c r="B376" s="623">
        <v>0.78</v>
      </c>
      <c r="C376" s="337">
        <v>0.17</v>
      </c>
      <c r="D376" s="337">
        <v>0.04</v>
      </c>
      <c r="E376" s="336">
        <v>0.008</v>
      </c>
      <c r="F376" s="335">
        <v>1</v>
      </c>
      <c r="G376" s="321"/>
      <c r="H376" s="321"/>
    </row>
    <row r="377" spans="1:8" ht="12.75">
      <c r="A377" s="334">
        <v>2005</v>
      </c>
      <c r="B377" s="623">
        <f>1792/2335</f>
        <v>0.7674518201284797</v>
      </c>
      <c r="C377" s="337">
        <v>0.17</v>
      </c>
      <c r="D377" s="337">
        <v>0.05</v>
      </c>
      <c r="E377" s="336">
        <v>0.009</v>
      </c>
      <c r="F377" s="335">
        <v>1</v>
      </c>
      <c r="G377" s="321"/>
      <c r="H377" s="321"/>
    </row>
    <row r="378" spans="1:8" ht="12.75">
      <c r="A378" s="334">
        <v>2006</v>
      </c>
      <c r="B378" s="624">
        <f aca="true" t="shared" si="17" ref="B378:E379">B355/$F355</f>
        <v>0.762046908315565</v>
      </c>
      <c r="C378" s="99">
        <f t="shared" si="17"/>
        <v>0.16886993603411513</v>
      </c>
      <c r="D378" s="99">
        <f t="shared" si="17"/>
        <v>0.058422174840085286</v>
      </c>
      <c r="E378" s="99">
        <f t="shared" si="17"/>
        <v>0.010660980810234541</v>
      </c>
      <c r="F378" s="333">
        <v>1</v>
      </c>
      <c r="G378" s="321"/>
      <c r="H378" s="321"/>
    </row>
    <row r="379" spans="1:8" ht="12.75">
      <c r="A379" s="334">
        <v>2007</v>
      </c>
      <c r="B379" s="624">
        <f t="shared" si="17"/>
        <v>0.7425531914893617</v>
      </c>
      <c r="C379" s="99">
        <f t="shared" si="17"/>
        <v>0.1753191489361702</v>
      </c>
      <c r="D379" s="99">
        <f t="shared" si="17"/>
        <v>0.06</v>
      </c>
      <c r="E379" s="99">
        <f t="shared" si="17"/>
        <v>0.014893617021276596</v>
      </c>
      <c r="F379" s="333">
        <v>1</v>
      </c>
      <c r="G379" s="321"/>
      <c r="H379" s="332"/>
    </row>
    <row r="380" spans="1:8" ht="12.75">
      <c r="A380" s="334">
        <v>2008</v>
      </c>
      <c r="B380" s="624"/>
      <c r="C380" s="99"/>
      <c r="D380" s="99"/>
      <c r="E380" s="99"/>
      <c r="F380" s="333"/>
      <c r="G380" s="321"/>
      <c r="H380" s="332"/>
    </row>
    <row r="381" spans="1:8" ht="12.75">
      <c r="A381" s="334">
        <v>2009</v>
      </c>
      <c r="B381" s="624">
        <f>B358/$F358</f>
        <v>0.7301622303583378</v>
      </c>
      <c r="C381" s="99">
        <f>C358/$F358</f>
        <v>0.18045454579240944</v>
      </c>
      <c r="D381" s="99">
        <f>D358/$F358</f>
        <v>0.07267351180646626</v>
      </c>
      <c r="E381" s="99">
        <f>E358/$F358</f>
        <v>0.016709712042786432</v>
      </c>
      <c r="F381" s="333">
        <v>1</v>
      </c>
      <c r="G381" s="321"/>
      <c r="H381" s="332"/>
    </row>
    <row r="382" spans="1:8" ht="12.75">
      <c r="A382" s="334">
        <v>2010</v>
      </c>
      <c r="B382" s="624">
        <v>0.73</v>
      </c>
      <c r="C382" s="99">
        <f aca="true" t="shared" si="18" ref="C382:E383">C359/$F359</f>
        <v>0.18084594594594594</v>
      </c>
      <c r="D382" s="99">
        <f t="shared" si="18"/>
        <v>0.07567567567567568</v>
      </c>
      <c r="E382" s="99">
        <f t="shared" si="18"/>
        <v>0.01641171171171171</v>
      </c>
      <c r="F382" s="333">
        <v>1</v>
      </c>
      <c r="G382" s="4"/>
      <c r="H382" s="321"/>
    </row>
    <row r="383" spans="1:8" ht="12.75">
      <c r="A383" s="334">
        <v>2011</v>
      </c>
      <c r="B383" s="913">
        <f>B360/$F360</f>
        <v>0.7089975033608603</v>
      </c>
      <c r="C383" s="914">
        <f t="shared" si="18"/>
        <v>0.1986268484732091</v>
      </c>
      <c r="D383" s="914">
        <f t="shared" si="18"/>
        <v>0.07734780103706548</v>
      </c>
      <c r="E383" s="914">
        <f t="shared" si="18"/>
        <v>0.014931822546571922</v>
      </c>
      <c r="F383" s="784">
        <f>F360/$F360</f>
        <v>1</v>
      </c>
      <c r="H383" s="4"/>
    </row>
    <row r="384" spans="1:8" ht="12.75">
      <c r="A384" s="334">
        <v>2012</v>
      </c>
      <c r="B384" s="341">
        <v>0.717</v>
      </c>
      <c r="C384" s="341">
        <v>0.203</v>
      </c>
      <c r="D384" s="341">
        <v>0.064</v>
      </c>
      <c r="E384" s="341">
        <v>0.016</v>
      </c>
      <c r="F384" s="784">
        <v>1</v>
      </c>
      <c r="H384" s="4"/>
    </row>
    <row r="385" spans="1:8" ht="12.75">
      <c r="A385" s="341"/>
      <c r="B385" s="341"/>
      <c r="C385" s="341"/>
      <c r="D385" s="341"/>
      <c r="E385" s="341"/>
      <c r="F385" s="1219"/>
      <c r="H385" s="4"/>
    </row>
    <row r="386" spans="1:8" ht="12.75">
      <c r="A386" s="341"/>
      <c r="B386" s="341"/>
      <c r="C386" s="341"/>
      <c r="D386" s="341"/>
      <c r="E386" s="341"/>
      <c r="F386" s="1219"/>
      <c r="H386" s="4"/>
    </row>
    <row r="387" spans="1:8" ht="15.75">
      <c r="A387" s="331" t="s">
        <v>269</v>
      </c>
      <c r="B387" s="330" t="s">
        <v>433</v>
      </c>
      <c r="C387" s="70"/>
      <c r="D387" s="330"/>
      <c r="E387" s="330"/>
      <c r="F387" s="330"/>
      <c r="H387" s="324"/>
    </row>
    <row r="388" spans="1:10" ht="15.75">
      <c r="A388" s="329" t="s">
        <v>268</v>
      </c>
      <c r="B388" s="328" t="s">
        <v>0</v>
      </c>
      <c r="C388" s="328" t="s">
        <v>1</v>
      </c>
      <c r="D388" s="328" t="s">
        <v>267</v>
      </c>
      <c r="E388" s="327" t="s">
        <v>266</v>
      </c>
      <c r="F388" s="326" t="s">
        <v>265</v>
      </c>
      <c r="G388" s="325"/>
      <c r="H388" s="321"/>
      <c r="I388" s="4"/>
      <c r="J388" s="4"/>
    </row>
    <row r="389" spans="1:8" ht="12.75">
      <c r="A389" s="621">
        <v>1990</v>
      </c>
      <c r="B389" s="775">
        <v>0.6838068550542807</v>
      </c>
      <c r="C389" s="776">
        <v>0.30969592217368297</v>
      </c>
      <c r="D389" s="776">
        <v>0.0002827712322814661</v>
      </c>
      <c r="E389" s="776">
        <v>0.006214451539754855</v>
      </c>
      <c r="F389" s="320">
        <v>1</v>
      </c>
      <c r="G389" s="323"/>
      <c r="H389" s="322"/>
    </row>
    <row r="390" spans="1:8" ht="12.75">
      <c r="A390" s="621">
        <v>1991</v>
      </c>
      <c r="B390" s="777">
        <v>0.667737701821322</v>
      </c>
      <c r="C390" s="776">
        <v>0.3248524094009607</v>
      </c>
      <c r="D390" s="776">
        <v>0</v>
      </c>
      <c r="E390" s="776">
        <v>0.007409888777717348</v>
      </c>
      <c r="F390" s="320">
        <v>1</v>
      </c>
      <c r="G390" s="321"/>
      <c r="H390" s="321"/>
    </row>
    <row r="391" spans="1:8" ht="12.75">
      <c r="A391" s="621">
        <v>1992</v>
      </c>
      <c r="B391" s="777">
        <v>0.695718238895269</v>
      </c>
      <c r="C391" s="776">
        <v>0.28714608037037753</v>
      </c>
      <c r="D391" s="776">
        <v>0.009358690456576366</v>
      </c>
      <c r="E391" s="776">
        <v>0.007776990277777092</v>
      </c>
      <c r="F391" s="320">
        <v>1</v>
      </c>
      <c r="G391" s="321"/>
      <c r="H391" s="321"/>
    </row>
    <row r="392" spans="1:8" ht="12.75">
      <c r="A392" s="621">
        <v>1993</v>
      </c>
      <c r="B392" s="777">
        <v>0.6915937255067002</v>
      </c>
      <c r="C392" s="776">
        <v>0.28371018404054144</v>
      </c>
      <c r="D392" s="776">
        <v>0.015263419426958882</v>
      </c>
      <c r="E392" s="776">
        <v>0.009432671025799444</v>
      </c>
      <c r="F392" s="320">
        <v>1</v>
      </c>
      <c r="G392" s="321"/>
      <c r="H392" s="321"/>
    </row>
    <row r="393" spans="1:8" ht="12.75">
      <c r="A393" s="621">
        <v>1994</v>
      </c>
      <c r="B393" s="777">
        <v>0.6411173288130709</v>
      </c>
      <c r="C393" s="776">
        <v>0.33433832104645017</v>
      </c>
      <c r="D393" s="776">
        <v>0.01758598654197522</v>
      </c>
      <c r="E393" s="776">
        <v>0.006958363598503581</v>
      </c>
      <c r="F393" s="320">
        <v>1</v>
      </c>
      <c r="G393" s="321"/>
      <c r="H393" s="321"/>
    </row>
    <row r="394" spans="1:8" ht="12.75">
      <c r="A394" s="621">
        <v>1995</v>
      </c>
      <c r="B394" s="777">
        <v>0.6307630750569442</v>
      </c>
      <c r="C394" s="776">
        <v>0.34240292849665144</v>
      </c>
      <c r="D394" s="776">
        <v>0.016457855712620664</v>
      </c>
      <c r="E394" s="776">
        <v>0.010376140733783783</v>
      </c>
      <c r="F394" s="320">
        <v>1</v>
      </c>
      <c r="G394" s="321"/>
      <c r="H394" s="321"/>
    </row>
    <row r="395" spans="1:8" ht="12.75">
      <c r="A395" s="621">
        <v>1996</v>
      </c>
      <c r="B395" s="777">
        <v>0.6374930678111987</v>
      </c>
      <c r="C395" s="776">
        <v>0.33357836864231716</v>
      </c>
      <c r="D395" s="776">
        <v>0.02086093396210175</v>
      </c>
      <c r="E395" s="776">
        <v>0.008067629584382268</v>
      </c>
      <c r="F395" s="320">
        <v>1</v>
      </c>
      <c r="G395" s="321"/>
      <c r="H395" s="321"/>
    </row>
    <row r="396" spans="1:8" ht="12.75">
      <c r="A396" s="621">
        <v>1997</v>
      </c>
      <c r="B396" s="777">
        <v>0.6292628036337337</v>
      </c>
      <c r="C396" s="776">
        <v>0.3404962587609783</v>
      </c>
      <c r="D396" s="776">
        <v>0.027614747929406887</v>
      </c>
      <c r="E396" s="776">
        <v>0.0026261896758811793</v>
      </c>
      <c r="F396" s="320">
        <v>1</v>
      </c>
      <c r="G396" s="321"/>
      <c r="H396" s="321"/>
    </row>
    <row r="397" spans="1:8" ht="12.75">
      <c r="A397" s="621">
        <v>1998</v>
      </c>
      <c r="B397" s="777">
        <v>0.6092253087688423</v>
      </c>
      <c r="C397" s="776">
        <v>0.3528484821417851</v>
      </c>
      <c r="D397" s="776">
        <v>0.03553696971865804</v>
      </c>
      <c r="E397" s="776">
        <v>0.002389239370714624</v>
      </c>
      <c r="F397" s="320">
        <v>1</v>
      </c>
      <c r="G397" s="321"/>
      <c r="H397" s="321"/>
    </row>
    <row r="398" spans="1:8" ht="12.75">
      <c r="A398" s="621">
        <v>1999</v>
      </c>
      <c r="B398" s="777">
        <v>0.6130694825992611</v>
      </c>
      <c r="C398" s="776">
        <v>0.3504606522249668</v>
      </c>
      <c r="D398" s="776">
        <v>0.0345351136909687</v>
      </c>
      <c r="E398" s="776">
        <v>0.0019347514848034263</v>
      </c>
      <c r="F398" s="320">
        <v>1</v>
      </c>
      <c r="G398" s="321"/>
      <c r="H398" s="321"/>
    </row>
    <row r="399" spans="1:8" ht="12.75">
      <c r="A399" s="621">
        <v>2000</v>
      </c>
      <c r="B399" s="777">
        <v>0.7517447417892346</v>
      </c>
      <c r="C399" s="776">
        <v>0.19910902012977488</v>
      </c>
      <c r="D399" s="776">
        <v>0.045302323341370125</v>
      </c>
      <c r="E399" s="776">
        <v>0.003843914739620393</v>
      </c>
      <c r="F399" s="320">
        <v>1</v>
      </c>
      <c r="G399" s="321"/>
      <c r="H399" s="321"/>
    </row>
    <row r="400" spans="1:8" ht="12.75">
      <c r="A400" s="621">
        <v>2001</v>
      </c>
      <c r="B400" s="777">
        <v>0.7682863749224642</v>
      </c>
      <c r="C400" s="776">
        <v>0.18027312673546592</v>
      </c>
      <c r="D400" s="776">
        <v>0.04627581003188987</v>
      </c>
      <c r="E400" s="776">
        <v>0.005164688310179939</v>
      </c>
      <c r="F400" s="320">
        <v>1</v>
      </c>
      <c r="G400" s="321"/>
      <c r="H400" s="321"/>
    </row>
    <row r="401" spans="1:8" ht="12.75">
      <c r="A401" s="621">
        <v>2002</v>
      </c>
      <c r="B401" s="777">
        <v>0.7677576283393158</v>
      </c>
      <c r="C401" s="776">
        <v>0.1796022123505787</v>
      </c>
      <c r="D401" s="776">
        <v>0.045942250929011504</v>
      </c>
      <c r="E401" s="776">
        <v>0.006697908381093882</v>
      </c>
      <c r="F401" s="320">
        <v>1</v>
      </c>
      <c r="G401" s="321"/>
      <c r="H401" s="321"/>
    </row>
    <row r="402" spans="1:8" ht="12.75">
      <c r="A402" s="621">
        <v>2003</v>
      </c>
      <c r="B402" s="777">
        <v>0.759320928897719</v>
      </c>
      <c r="C402" s="776">
        <v>0.19058442882990906</v>
      </c>
      <c r="D402" s="776">
        <v>0.04436479575241513</v>
      </c>
      <c r="E402" s="776">
        <v>0.005729846519957102</v>
      </c>
      <c r="F402" s="320">
        <v>1</v>
      </c>
      <c r="G402" s="321"/>
      <c r="H402" s="318"/>
    </row>
    <row r="403" spans="1:8" ht="12.75">
      <c r="A403" s="621">
        <v>2004</v>
      </c>
      <c r="B403" s="777">
        <v>0.773</v>
      </c>
      <c r="C403" s="776">
        <v>0.175</v>
      </c>
      <c r="D403" s="776">
        <v>0.044</v>
      </c>
      <c r="E403" s="776">
        <v>0.008</v>
      </c>
      <c r="F403" s="320">
        <v>1</v>
      </c>
      <c r="G403" s="318"/>
      <c r="H403" s="318"/>
    </row>
    <row r="404" spans="1:8" ht="12.75">
      <c r="A404" s="621">
        <v>2005</v>
      </c>
      <c r="B404" s="778">
        <v>0.7766326870041648</v>
      </c>
      <c r="C404" s="779">
        <v>0.17036965580625932</v>
      </c>
      <c r="D404" s="779">
        <v>0.03806006416244685</v>
      </c>
      <c r="E404" s="779">
        <v>0.01493759302712891</v>
      </c>
      <c r="F404" s="315">
        <v>1</v>
      </c>
      <c r="G404" s="319"/>
      <c r="H404" s="318"/>
    </row>
    <row r="405" spans="1:7" ht="12.75">
      <c r="A405" s="621">
        <v>2006</v>
      </c>
      <c r="B405" s="773">
        <v>0.7759999999999999</v>
      </c>
      <c r="C405" s="774">
        <v>0.168</v>
      </c>
      <c r="D405" s="774">
        <v>0.042</v>
      </c>
      <c r="E405" s="774">
        <v>0.013999999999999999</v>
      </c>
      <c r="F405" s="315">
        <v>1</v>
      </c>
      <c r="G405" s="319"/>
    </row>
    <row r="406" spans="1:7" ht="12.75">
      <c r="A406" s="621">
        <v>2007</v>
      </c>
      <c r="B406" s="778">
        <v>0.763</v>
      </c>
      <c r="C406" s="779">
        <v>0.175</v>
      </c>
      <c r="D406" s="779">
        <v>0.043</v>
      </c>
      <c r="E406" s="779">
        <v>0.019</v>
      </c>
      <c r="F406" s="315">
        <v>1</v>
      </c>
      <c r="G406" s="54"/>
    </row>
    <row r="407" spans="1:7" ht="12.75">
      <c r="A407" s="334">
        <v>2008</v>
      </c>
      <c r="B407" s="778"/>
      <c r="C407" s="779"/>
      <c r="D407" s="779"/>
      <c r="E407" s="779"/>
      <c r="F407" s="315"/>
      <c r="G407" s="54"/>
    </row>
    <row r="408" spans="1:6" ht="12.75">
      <c r="A408" s="334">
        <v>2009</v>
      </c>
      <c r="B408" s="773">
        <v>0.7390000000000001</v>
      </c>
      <c r="C408" s="774">
        <v>0.184</v>
      </c>
      <c r="D408" s="774">
        <v>0.051</v>
      </c>
      <c r="E408" s="774">
        <v>0.026000000000000002</v>
      </c>
      <c r="F408" s="315">
        <v>1</v>
      </c>
    </row>
    <row r="409" spans="1:6" ht="12.75">
      <c r="A409" s="334">
        <v>2010</v>
      </c>
      <c r="B409" s="778">
        <v>0.7398932164568488</v>
      </c>
      <c r="C409" s="780">
        <v>0.18521217722739047</v>
      </c>
      <c r="D409" s="780">
        <v>0.05266882854807695</v>
      </c>
      <c r="E409" s="780">
        <v>0.022225777767683922</v>
      </c>
      <c r="F409" s="315">
        <v>1</v>
      </c>
    </row>
    <row r="410" spans="1:6" ht="12.75">
      <c r="A410" s="334">
        <v>2011</v>
      </c>
      <c r="B410" s="778">
        <v>0.7151419760815988</v>
      </c>
      <c r="C410" s="779">
        <v>0.20145553895257362</v>
      </c>
      <c r="D410" s="779">
        <v>0.05555739374944369</v>
      </c>
      <c r="E410" s="779">
        <v>0.03</v>
      </c>
      <c r="F410" s="315">
        <v>1</v>
      </c>
    </row>
    <row r="411" spans="1:6" ht="12.75">
      <c r="A411" s="334">
        <v>2012</v>
      </c>
      <c r="B411" s="779">
        <v>0.7160622837915986</v>
      </c>
      <c r="C411" s="779">
        <v>0.20171478969147735</v>
      </c>
      <c r="D411" s="779">
        <v>0.05562888989919463</v>
      </c>
      <c r="E411" s="779">
        <v>0.026602877184092075</v>
      </c>
      <c r="F411" s="669">
        <v>1</v>
      </c>
    </row>
    <row r="412" spans="1:6" ht="12.75">
      <c r="A412" s="323" t="s">
        <v>21</v>
      </c>
      <c r="B412" s="772" t="s">
        <v>584</v>
      </c>
      <c r="C412" s="317"/>
      <c r="D412" s="317"/>
      <c r="E412" s="317"/>
      <c r="F412" s="316"/>
    </row>
    <row r="413" spans="1:6" ht="12.75">
      <c r="A413" s="323"/>
      <c r="B413" s="317"/>
      <c r="C413" s="317"/>
      <c r="D413" s="317"/>
      <c r="E413" s="317"/>
      <c r="F413" s="316"/>
    </row>
    <row r="414" spans="1:6" ht="12.75">
      <c r="A414" s="323"/>
      <c r="B414" s="317"/>
      <c r="C414" s="317"/>
      <c r="D414" s="317"/>
      <c r="E414" s="317"/>
      <c r="F414" s="316"/>
    </row>
    <row r="416" spans="1:6" ht="15.75">
      <c r="A416" s="70" t="s">
        <v>807</v>
      </c>
      <c r="B416" s="314"/>
      <c r="C416" s="314"/>
      <c r="D416" s="314"/>
      <c r="E416" s="314"/>
      <c r="F416" s="314"/>
    </row>
    <row r="417" ht="13.5" thickBot="1">
      <c r="A417" t="s">
        <v>416</v>
      </c>
    </row>
    <row r="418" spans="1:10" ht="51.75" thickBot="1">
      <c r="A418" s="311"/>
      <c r="B418" s="312" t="s">
        <v>498</v>
      </c>
      <c r="C418" s="313" t="s">
        <v>673</v>
      </c>
      <c r="D418" s="312" t="s">
        <v>730</v>
      </c>
      <c r="E418" s="312" t="s">
        <v>495</v>
      </c>
      <c r="F418" s="312" t="s">
        <v>672</v>
      </c>
      <c r="G418" s="312" t="s">
        <v>264</v>
      </c>
      <c r="H418" s="312" t="s">
        <v>263</v>
      </c>
      <c r="I418" s="311" t="s">
        <v>674</v>
      </c>
      <c r="J418" s="867"/>
    </row>
    <row r="419" spans="1:10" ht="14.25" thickBot="1">
      <c r="A419" s="310" t="s">
        <v>276</v>
      </c>
      <c r="B419" s="309" t="s">
        <v>10</v>
      </c>
      <c r="C419" s="306" t="s">
        <v>11</v>
      </c>
      <c r="D419" s="308" t="s">
        <v>12</v>
      </c>
      <c r="E419" s="308" t="s">
        <v>415</v>
      </c>
      <c r="F419" s="308" t="s">
        <v>262</v>
      </c>
      <c r="G419" s="308" t="s">
        <v>261</v>
      </c>
      <c r="H419" s="307" t="s">
        <v>517</v>
      </c>
      <c r="I419" s="593" t="s">
        <v>408</v>
      </c>
      <c r="J419" s="302"/>
    </row>
    <row r="420" spans="1:10" ht="12.75">
      <c r="A420" s="796">
        <v>1990</v>
      </c>
      <c r="B420" s="305">
        <f aca="true" t="shared" si="19" ref="B420:B442">J153</f>
        <v>1737.975678406746</v>
      </c>
      <c r="C420" s="618">
        <f aca="true" t="shared" si="20" ref="C420:C437">H153</f>
        <v>0.839902851414569</v>
      </c>
      <c r="D420" s="603">
        <f aca="true" t="shared" si="21" ref="D420:D440">H243</f>
        <v>233.0722562710762</v>
      </c>
      <c r="E420" s="182">
        <f>D420/0.7</f>
        <v>332.9603661015375</v>
      </c>
      <c r="F420" s="603">
        <f aca="true" t="shared" si="22" ref="F420:F442">B420+E420</f>
        <v>2070.9360445082834</v>
      </c>
      <c r="G420" s="304">
        <f aca="true" t="shared" si="23" ref="G420:G442">E420*100/F420</f>
        <v>16.077771546083383</v>
      </c>
      <c r="H420" s="303">
        <f aca="true" t="shared" si="24" ref="H420:H437">(B420*C420+D420)/F420</f>
        <v>0.8174095905776781</v>
      </c>
      <c r="I420" s="674">
        <f aca="true" t="shared" si="25" ref="I420:I442">I105*F420</f>
        <v>5349</v>
      </c>
      <c r="J420" s="592"/>
    </row>
    <row r="421" spans="1:10" ht="12.75">
      <c r="A421" s="797">
        <v>1991</v>
      </c>
      <c r="B421" s="301">
        <f t="shared" si="19"/>
        <v>1484.4932664747514</v>
      </c>
      <c r="C421" s="604">
        <f t="shared" si="20"/>
        <v>0.7848178873941206</v>
      </c>
      <c r="D421" s="300">
        <f t="shared" si="21"/>
        <v>241.12845285040774</v>
      </c>
      <c r="E421" s="178">
        <f aca="true" t="shared" si="26" ref="E421:E440">D421/0.7</f>
        <v>344.46921835772537</v>
      </c>
      <c r="F421" s="300">
        <f t="shared" si="22"/>
        <v>1828.9624848324768</v>
      </c>
      <c r="G421" s="299">
        <f t="shared" si="23"/>
        <v>18.834132532208656</v>
      </c>
      <c r="H421" s="298">
        <f t="shared" si="24"/>
        <v>0.7688431740712924</v>
      </c>
      <c r="I421" s="674">
        <f t="shared" si="25"/>
        <v>4945.42857142857</v>
      </c>
      <c r="J421" s="592"/>
    </row>
    <row r="422" spans="1:10" ht="12.75">
      <c r="A422" s="797">
        <v>1992</v>
      </c>
      <c r="B422" s="301">
        <f t="shared" si="19"/>
        <v>1268.127676321351</v>
      </c>
      <c r="C422" s="604">
        <f t="shared" si="20"/>
        <v>0.7872562781637643</v>
      </c>
      <c r="D422" s="300">
        <f t="shared" si="21"/>
        <v>280.9930915795723</v>
      </c>
      <c r="E422" s="178">
        <f t="shared" si="26"/>
        <v>401.4187022565319</v>
      </c>
      <c r="F422" s="300">
        <f t="shared" si="22"/>
        <v>1669.546378577883</v>
      </c>
      <c r="G422" s="299">
        <f t="shared" si="23"/>
        <v>24.043578986913783</v>
      </c>
      <c r="H422" s="298">
        <f t="shared" si="24"/>
        <v>0.7662767460024184</v>
      </c>
      <c r="I422" s="674">
        <f t="shared" si="25"/>
        <v>4563.142857142857</v>
      </c>
      <c r="J422" s="592"/>
    </row>
    <row r="423" spans="1:10" ht="12.75">
      <c r="A423" s="797">
        <v>1993</v>
      </c>
      <c r="B423" s="301">
        <f t="shared" si="19"/>
        <v>1221.7743014700961</v>
      </c>
      <c r="C423" s="604">
        <f t="shared" si="20"/>
        <v>0.7669173740368226</v>
      </c>
      <c r="D423" s="300">
        <f t="shared" si="21"/>
        <v>292.7054670780177</v>
      </c>
      <c r="E423" s="178">
        <f t="shared" si="26"/>
        <v>418.15066725431103</v>
      </c>
      <c r="F423" s="300">
        <f t="shared" si="22"/>
        <v>1639.924968724407</v>
      </c>
      <c r="G423" s="299">
        <f t="shared" si="23"/>
        <v>25.49815846633299</v>
      </c>
      <c r="H423" s="298">
        <f t="shared" si="24"/>
        <v>0.7498546759634048</v>
      </c>
      <c r="I423" s="674">
        <f t="shared" si="25"/>
        <v>4538.142857142857</v>
      </c>
      <c r="J423" s="592"/>
    </row>
    <row r="424" spans="1:10" ht="12.75">
      <c r="A424" s="797">
        <v>1994</v>
      </c>
      <c r="B424" s="301">
        <f t="shared" si="19"/>
        <v>1210.0668449503883</v>
      </c>
      <c r="C424" s="604">
        <f t="shared" si="20"/>
        <v>0.7648609772122252</v>
      </c>
      <c r="D424" s="300">
        <f t="shared" si="21"/>
        <v>247.28692296689326</v>
      </c>
      <c r="E424" s="178">
        <f t="shared" si="26"/>
        <v>353.26703280984754</v>
      </c>
      <c r="F424" s="300">
        <f t="shared" si="22"/>
        <v>1563.3338777602357</v>
      </c>
      <c r="G424" s="299">
        <f t="shared" si="23"/>
        <v>22.59703047668664</v>
      </c>
      <c r="H424" s="298">
        <f t="shared" si="24"/>
        <v>0.750204322424102</v>
      </c>
      <c r="I424" s="674">
        <f t="shared" si="25"/>
        <v>4387.428571428571</v>
      </c>
      <c r="J424" s="592"/>
    </row>
    <row r="425" spans="1:10" ht="12.75">
      <c r="A425" s="797">
        <v>1995</v>
      </c>
      <c r="B425" s="301">
        <f t="shared" si="19"/>
        <v>1170.6172973447624</v>
      </c>
      <c r="C425" s="604">
        <f t="shared" si="20"/>
        <v>0.7719615083759156</v>
      </c>
      <c r="D425" s="300">
        <f t="shared" si="21"/>
        <v>283.3609275777615</v>
      </c>
      <c r="E425" s="178">
        <f t="shared" si="26"/>
        <v>404.8013251110879</v>
      </c>
      <c r="F425" s="300">
        <f t="shared" si="22"/>
        <v>1575.4186224558503</v>
      </c>
      <c r="G425" s="299">
        <f t="shared" si="23"/>
        <v>25.694841951281564</v>
      </c>
      <c r="H425" s="298">
        <f t="shared" si="24"/>
        <v>0.753471112532966</v>
      </c>
      <c r="I425" s="674">
        <f t="shared" si="25"/>
        <v>4492.285714285715</v>
      </c>
      <c r="J425" s="592"/>
    </row>
    <row r="426" spans="1:10" ht="12.75">
      <c r="A426" s="797">
        <v>1996</v>
      </c>
      <c r="B426" s="301">
        <f t="shared" si="19"/>
        <v>1263.9075502071842</v>
      </c>
      <c r="C426" s="604">
        <f t="shared" si="20"/>
        <v>0.7503979476610126</v>
      </c>
      <c r="D426" s="300">
        <f t="shared" si="21"/>
        <v>227.22709509189266</v>
      </c>
      <c r="E426" s="178">
        <f t="shared" si="26"/>
        <v>324.610135845561</v>
      </c>
      <c r="F426" s="300">
        <f t="shared" si="22"/>
        <v>1588.5176860527451</v>
      </c>
      <c r="G426" s="299">
        <f t="shared" si="23"/>
        <v>20.434782608695652</v>
      </c>
      <c r="H426" s="298">
        <f t="shared" si="24"/>
        <v>0.7400992366172404</v>
      </c>
      <c r="I426" s="674">
        <f t="shared" si="25"/>
        <v>4600</v>
      </c>
      <c r="J426" s="801"/>
    </row>
    <row r="427" spans="1:10" ht="12.75">
      <c r="A427" s="797">
        <v>1997</v>
      </c>
      <c r="B427" s="301">
        <f t="shared" si="19"/>
        <v>1177.8425043903997</v>
      </c>
      <c r="C427" s="604">
        <f t="shared" si="20"/>
        <v>0.7745567700782836</v>
      </c>
      <c r="D427" s="300">
        <f t="shared" si="21"/>
        <v>249.9799110506734</v>
      </c>
      <c r="E427" s="178">
        <f t="shared" si="26"/>
        <v>357.11415864381917</v>
      </c>
      <c r="F427" s="300">
        <f t="shared" si="22"/>
        <v>1534.9566630342188</v>
      </c>
      <c r="G427" s="299">
        <f t="shared" si="23"/>
        <v>23.26542287766583</v>
      </c>
      <c r="H427" s="298">
        <f t="shared" si="24"/>
        <v>0.7572108222356418</v>
      </c>
      <c r="I427" s="674">
        <f t="shared" si="25"/>
        <v>4494.714285714285</v>
      </c>
      <c r="J427" s="801"/>
    </row>
    <row r="428" spans="1:10" ht="12.75">
      <c r="A428" s="797">
        <v>1998</v>
      </c>
      <c r="B428" s="301">
        <f t="shared" si="19"/>
        <v>1110.1372384214555</v>
      </c>
      <c r="C428" s="604">
        <f t="shared" si="20"/>
        <v>0.7668241893962612</v>
      </c>
      <c r="D428" s="300">
        <f t="shared" si="21"/>
        <v>257.20617598731855</v>
      </c>
      <c r="E428" s="178">
        <f t="shared" si="26"/>
        <v>367.43739426759794</v>
      </c>
      <c r="F428" s="300">
        <f t="shared" si="22"/>
        <v>1477.5746326890535</v>
      </c>
      <c r="G428" s="299">
        <f t="shared" si="23"/>
        <v>24.867603039373705</v>
      </c>
      <c r="H428" s="298">
        <f t="shared" si="24"/>
        <v>0.7502066152429196</v>
      </c>
      <c r="I428" s="674">
        <f t="shared" si="25"/>
        <v>4343</v>
      </c>
      <c r="J428" s="801"/>
    </row>
    <row r="429" spans="1:10" ht="12.75">
      <c r="A429" s="797">
        <v>1999</v>
      </c>
      <c r="B429" s="301">
        <f t="shared" si="19"/>
        <v>1053.8954005002063</v>
      </c>
      <c r="C429" s="604">
        <f t="shared" si="20"/>
        <v>0.7561081276050016</v>
      </c>
      <c r="D429" s="300">
        <f t="shared" si="21"/>
        <v>248.69093131393134</v>
      </c>
      <c r="E429" s="178">
        <f t="shared" si="26"/>
        <v>355.27275901990197</v>
      </c>
      <c r="F429" s="300">
        <f t="shared" si="22"/>
        <v>1409.1681595201082</v>
      </c>
      <c r="G429" s="299">
        <f t="shared" si="23"/>
        <v>25.21152331038263</v>
      </c>
      <c r="H429" s="298">
        <f t="shared" si="24"/>
        <v>0.7419624139348474</v>
      </c>
      <c r="I429" s="674">
        <f t="shared" si="25"/>
        <v>4170.428571428572</v>
      </c>
      <c r="J429" s="801"/>
    </row>
    <row r="430" spans="1:10" ht="12.75">
      <c r="A430" s="797">
        <v>2000</v>
      </c>
      <c r="B430" s="744">
        <f t="shared" si="19"/>
        <v>1057.4214396286238</v>
      </c>
      <c r="C430" s="604">
        <f t="shared" si="20"/>
        <v>0.6635639657360405</v>
      </c>
      <c r="D430" s="299">
        <f t="shared" si="21"/>
        <v>282.1356061953281</v>
      </c>
      <c r="E430" s="177">
        <f t="shared" si="26"/>
        <v>403.05086599332583</v>
      </c>
      <c r="F430" s="300">
        <f t="shared" si="22"/>
        <v>1460.4723056219495</v>
      </c>
      <c r="G430" s="299">
        <f t="shared" si="23"/>
        <v>27.597296055654038</v>
      </c>
      <c r="H430" s="298">
        <f t="shared" si="24"/>
        <v>0.673619325982805</v>
      </c>
      <c r="I430" s="674">
        <f t="shared" si="25"/>
        <v>4353.428571428573</v>
      </c>
      <c r="J430" s="801"/>
    </row>
    <row r="431" spans="1:10" ht="12.75">
      <c r="A431" s="797">
        <v>2001</v>
      </c>
      <c r="B431" s="301">
        <f t="shared" si="19"/>
        <v>867.1519569616884</v>
      </c>
      <c r="C431" s="604">
        <f t="shared" si="20"/>
        <v>0.7136212039877301</v>
      </c>
      <c r="D431" s="300">
        <f t="shared" si="21"/>
        <v>259.3475944900755</v>
      </c>
      <c r="E431" s="178">
        <f t="shared" si="26"/>
        <v>370.49656355725074</v>
      </c>
      <c r="F431" s="300">
        <f t="shared" si="22"/>
        <v>1237.6485205189392</v>
      </c>
      <c r="G431" s="299">
        <f t="shared" si="23"/>
        <v>29.935523487872278</v>
      </c>
      <c r="H431" s="298">
        <f t="shared" si="24"/>
        <v>0.7095436252686521</v>
      </c>
      <c r="I431" s="674">
        <f t="shared" si="25"/>
        <v>3722.2857142857147</v>
      </c>
      <c r="J431" s="801"/>
    </row>
    <row r="432" spans="1:10" ht="12.75">
      <c r="A432" s="797">
        <v>2002</v>
      </c>
      <c r="B432" s="301">
        <f t="shared" si="19"/>
        <v>920.2515435079384</v>
      </c>
      <c r="C432" s="604">
        <f t="shared" si="20"/>
        <v>0.7057892083777068</v>
      </c>
      <c r="D432" s="300">
        <f t="shared" si="21"/>
        <v>264.60907001825706</v>
      </c>
      <c r="E432" s="178">
        <f t="shared" si="26"/>
        <v>378.01295716893867</v>
      </c>
      <c r="F432" s="300">
        <f t="shared" si="22"/>
        <v>1298.264500676877</v>
      </c>
      <c r="G432" s="299">
        <f t="shared" si="23"/>
        <v>29.11679068262698</v>
      </c>
      <c r="H432" s="298">
        <f t="shared" si="24"/>
        <v>0.7041035766921888</v>
      </c>
      <c r="I432" s="674">
        <f t="shared" si="25"/>
        <v>3974.142857142857</v>
      </c>
      <c r="J432" s="801"/>
    </row>
    <row r="433" spans="1:10" ht="12.75">
      <c r="A433" s="797">
        <v>2003</v>
      </c>
      <c r="B433" s="301">
        <f t="shared" si="19"/>
        <v>757.2122305610472</v>
      </c>
      <c r="C433" s="604">
        <f t="shared" si="20"/>
        <v>0.7265632868610055</v>
      </c>
      <c r="D433" s="300">
        <f t="shared" si="21"/>
        <v>254.36078368318408</v>
      </c>
      <c r="E433" s="178">
        <f t="shared" si="26"/>
        <v>363.3725481188344</v>
      </c>
      <c r="F433" s="300">
        <f t="shared" si="22"/>
        <v>1120.5847786798818</v>
      </c>
      <c r="G433" s="299">
        <f t="shared" si="23"/>
        <v>32.42704657713714</v>
      </c>
      <c r="H433" s="298">
        <f t="shared" si="24"/>
        <v>0.7179495974581686</v>
      </c>
      <c r="I433" s="674">
        <f t="shared" si="25"/>
        <v>3502.8807830665896</v>
      </c>
      <c r="J433" s="801"/>
    </row>
    <row r="434" spans="1:10" ht="12.75">
      <c r="A434" s="306">
        <v>2004</v>
      </c>
      <c r="B434" s="301">
        <f t="shared" si="19"/>
        <v>730.0188797986154</v>
      </c>
      <c r="C434" s="604">
        <f t="shared" si="20"/>
        <v>0.7280586206896552</v>
      </c>
      <c r="D434" s="300">
        <f t="shared" si="21"/>
        <v>264.6318439269981</v>
      </c>
      <c r="E434" s="178">
        <f t="shared" si="26"/>
        <v>378.04549132428303</v>
      </c>
      <c r="F434" s="300">
        <f t="shared" si="22"/>
        <v>1108.0643711228986</v>
      </c>
      <c r="G434" s="299">
        <f t="shared" si="23"/>
        <v>34.11764705882353</v>
      </c>
      <c r="H434" s="298">
        <f t="shared" si="24"/>
        <v>0.7184856795131845</v>
      </c>
      <c r="I434" s="674">
        <f t="shared" si="25"/>
        <v>3521.4285714285716</v>
      </c>
      <c r="J434" s="801"/>
    </row>
    <row r="435" spans="1:10" ht="12.75">
      <c r="A435" s="306">
        <v>2005</v>
      </c>
      <c r="B435" s="301">
        <f t="shared" si="19"/>
        <v>756.2892154275548</v>
      </c>
      <c r="C435" s="604">
        <f t="shared" si="20"/>
        <v>0.6892446633825944</v>
      </c>
      <c r="D435" s="300">
        <f t="shared" si="21"/>
        <v>276</v>
      </c>
      <c r="E435" s="178">
        <f t="shared" si="26"/>
        <v>394.28571428571433</v>
      </c>
      <c r="F435" s="300">
        <f t="shared" si="22"/>
        <v>1150.5749297132693</v>
      </c>
      <c r="G435" s="299">
        <f t="shared" si="23"/>
        <v>34.26858208912764</v>
      </c>
      <c r="H435" s="298">
        <f t="shared" si="24"/>
        <v>0.6929303647402919</v>
      </c>
      <c r="I435" s="674">
        <f t="shared" si="25"/>
        <v>3705.9903428571433</v>
      </c>
      <c r="J435" s="801"/>
    </row>
    <row r="436" spans="1:10" ht="12.75">
      <c r="A436" s="306">
        <v>2006</v>
      </c>
      <c r="B436" s="301">
        <f t="shared" si="19"/>
        <v>746.6776061007755</v>
      </c>
      <c r="C436" s="604">
        <f t="shared" si="20"/>
        <v>0.6975567445674457</v>
      </c>
      <c r="D436" s="300">
        <f t="shared" si="21"/>
        <v>269.0978334409929</v>
      </c>
      <c r="E436" s="178">
        <f t="shared" si="26"/>
        <v>384.4254763442756</v>
      </c>
      <c r="F436" s="300">
        <f t="shared" si="22"/>
        <v>1131.103082445051</v>
      </c>
      <c r="G436" s="299">
        <f t="shared" si="23"/>
        <v>33.98677647604686</v>
      </c>
      <c r="H436" s="298">
        <f t="shared" si="24"/>
        <v>0.6983871283300468</v>
      </c>
      <c r="I436" s="674">
        <f t="shared" si="25"/>
        <v>3694.714285714286</v>
      </c>
      <c r="J436" s="801"/>
    </row>
    <row r="437" spans="1:10" ht="12.75">
      <c r="A437" s="797">
        <v>2007</v>
      </c>
      <c r="B437" s="301">
        <f t="shared" si="19"/>
        <v>731.5190464222884</v>
      </c>
      <c r="C437" s="604">
        <f t="shared" si="20"/>
        <v>0.6875255623721881</v>
      </c>
      <c r="D437" s="300">
        <f t="shared" si="21"/>
        <v>270.4675738101222</v>
      </c>
      <c r="E437" s="178">
        <f t="shared" si="26"/>
        <v>386.3822483001746</v>
      </c>
      <c r="F437" s="300">
        <f t="shared" si="22"/>
        <v>1117.901294722463</v>
      </c>
      <c r="G437" s="299">
        <f t="shared" si="23"/>
        <v>34.563181036130764</v>
      </c>
      <c r="H437" s="298">
        <f t="shared" si="24"/>
        <v>0.6918371248327279</v>
      </c>
      <c r="I437" s="674">
        <f t="shared" si="25"/>
        <v>3736.428571428572</v>
      </c>
      <c r="J437" s="801"/>
    </row>
    <row r="438" spans="1:10" ht="12.75">
      <c r="A438" s="306">
        <v>2008</v>
      </c>
      <c r="B438" s="301">
        <f t="shared" si="19"/>
        <v>754.0719887391916</v>
      </c>
      <c r="C438" s="604"/>
      <c r="D438" s="300">
        <f t="shared" si="21"/>
        <v>257.2716196874889</v>
      </c>
      <c r="E438" s="178">
        <f t="shared" si="26"/>
        <v>367.5308852678413</v>
      </c>
      <c r="F438" s="300">
        <f t="shared" si="22"/>
        <v>1121.6028740070328</v>
      </c>
      <c r="G438" s="299">
        <f t="shared" si="23"/>
        <v>32.76836158192091</v>
      </c>
      <c r="H438" s="298"/>
      <c r="I438" s="674">
        <f t="shared" si="25"/>
        <v>3792.8571428571427</v>
      </c>
      <c r="J438" s="801"/>
    </row>
    <row r="439" spans="1:10" ht="13.5" thickBot="1">
      <c r="A439" s="306">
        <v>2009</v>
      </c>
      <c r="B439" s="301">
        <f t="shared" si="19"/>
        <v>710.8672814287381</v>
      </c>
      <c r="C439" s="604">
        <f>H172</f>
        <v>0.6699507389162561</v>
      </c>
      <c r="D439" s="300">
        <f t="shared" si="21"/>
        <v>249.79572779269287</v>
      </c>
      <c r="E439" s="178">
        <f t="shared" si="26"/>
        <v>356.851039703847</v>
      </c>
      <c r="F439" s="300">
        <f t="shared" si="22"/>
        <v>1067.718321132585</v>
      </c>
      <c r="G439" s="299">
        <f t="shared" si="23"/>
        <v>33.421833515539596</v>
      </c>
      <c r="H439" s="298">
        <f>(B439*C439+D439)/F439</f>
        <v>0.6799937529283149</v>
      </c>
      <c r="I439" s="674">
        <f t="shared" si="25"/>
        <v>3658.8571428571427</v>
      </c>
      <c r="J439" s="801"/>
    </row>
    <row r="440" spans="1:10" ht="12.75">
      <c r="A440" s="308">
        <v>2010</v>
      </c>
      <c r="B440" s="301">
        <f t="shared" si="19"/>
        <v>638.6932779395348</v>
      </c>
      <c r="C440" s="604">
        <v>0.661</v>
      </c>
      <c r="D440" s="300">
        <f t="shared" si="21"/>
        <v>222.97538351765965</v>
      </c>
      <c r="E440" s="178">
        <f t="shared" si="26"/>
        <v>318.5362621680852</v>
      </c>
      <c r="F440" s="300">
        <f t="shared" si="22"/>
        <v>957.2295401076201</v>
      </c>
      <c r="G440" s="299">
        <f t="shared" si="23"/>
        <v>33.27689428935432</v>
      </c>
      <c r="H440" s="298">
        <f>(B440*C440+D440)/F440</f>
        <v>0.6739779887728482</v>
      </c>
      <c r="I440" s="674">
        <f t="shared" si="25"/>
        <v>3327.061857142857</v>
      </c>
      <c r="J440" s="801"/>
    </row>
    <row r="441" spans="1:10" ht="12.75">
      <c r="A441" s="306">
        <v>2011</v>
      </c>
      <c r="B441" s="301">
        <f t="shared" si="19"/>
        <v>592.9236287039936</v>
      </c>
      <c r="C441" s="604">
        <v>0.703</v>
      </c>
      <c r="D441" s="178">
        <v>180</v>
      </c>
      <c r="E441" s="178">
        <f>D441/0.7</f>
        <v>257.14285714285717</v>
      </c>
      <c r="F441" s="915">
        <f t="shared" si="22"/>
        <v>850.0664858468508</v>
      </c>
      <c r="G441" s="299">
        <f t="shared" si="23"/>
        <v>30.249734747122403</v>
      </c>
      <c r="H441" s="298">
        <f>(B441*C441+D441)/F441</f>
        <v>0.7020925079575863</v>
      </c>
      <c r="I441" s="674">
        <f t="shared" si="25"/>
        <v>2986.3685714285716</v>
      </c>
      <c r="J441" s="801"/>
    </row>
    <row r="442" spans="1:10" ht="13.5" thickBot="1">
      <c r="A442" s="306">
        <v>2012</v>
      </c>
      <c r="B442" s="1037">
        <f t="shared" si="19"/>
        <v>569.2151384302769</v>
      </c>
      <c r="C442" s="1038">
        <v>0.727</v>
      </c>
      <c r="D442" s="1039">
        <v>167</v>
      </c>
      <c r="E442" s="1039">
        <f>D442/0.7</f>
        <v>238.57142857142858</v>
      </c>
      <c r="F442" s="1040">
        <f t="shared" si="22"/>
        <v>807.7865670017054</v>
      </c>
      <c r="G442" s="1041">
        <f t="shared" si="23"/>
        <v>29.533968292756335</v>
      </c>
      <c r="H442" s="1042">
        <f>(B442*C442+D442)/F442</f>
        <v>0.7190258285609559</v>
      </c>
      <c r="I442" s="1043">
        <f t="shared" si="25"/>
        <v>2862.2301428571427</v>
      </c>
      <c r="J442" s="801"/>
    </row>
    <row r="443" spans="1:10" ht="16.5" thickBot="1">
      <c r="A443" s="798" t="s">
        <v>731</v>
      </c>
      <c r="B443" s="625">
        <f>(B442-B441)*100/B441</f>
        <v>-3.998574036514367</v>
      </c>
      <c r="C443" s="625">
        <f aca="true" t="shared" si="27" ref="C443:I443">(C442-C441)*100/C441</f>
        <v>3.4139402560455223</v>
      </c>
      <c r="D443" s="625">
        <f t="shared" si="27"/>
        <v>-7.222222222222222</v>
      </c>
      <c r="E443" s="625">
        <f t="shared" si="27"/>
        <v>-7.222222222222226</v>
      </c>
      <c r="F443" s="728">
        <f t="shared" si="27"/>
        <v>-4.973719061871428</v>
      </c>
      <c r="G443" s="625">
        <f t="shared" si="27"/>
        <v>-2.3661908454723166</v>
      </c>
      <c r="H443" s="625">
        <f t="shared" si="27"/>
        <v>2.411836105847259</v>
      </c>
      <c r="I443" s="1044">
        <f t="shared" si="27"/>
        <v>-4.156835487725667</v>
      </c>
      <c r="J443" s="868"/>
    </row>
    <row r="444" spans="1:10" ht="16.5" thickBot="1">
      <c r="A444" s="799" t="s">
        <v>732</v>
      </c>
      <c r="B444" s="626">
        <f>(B442-B420)*100/B420</f>
        <v>-67.24838296056633</v>
      </c>
      <c r="C444" s="626">
        <f aca="true" t="shared" si="28" ref="C444:I444">(C442-C420)*100/C420</f>
        <v>-13.442370296090484</v>
      </c>
      <c r="D444" s="626">
        <f t="shared" si="28"/>
        <v>-28.348400332225918</v>
      </c>
      <c r="E444" s="626">
        <f t="shared" si="28"/>
        <v>-28.348400332225925</v>
      </c>
      <c r="F444" s="626">
        <f t="shared" si="28"/>
        <v>-60.99413262211563</v>
      </c>
      <c r="G444" s="626">
        <f t="shared" si="28"/>
        <v>83.69441441622511</v>
      </c>
      <c r="H444" s="626">
        <f t="shared" si="28"/>
        <v>-12.036042046826573</v>
      </c>
      <c r="I444" s="1045">
        <f t="shared" si="28"/>
        <v>-46.49036936142937</v>
      </c>
      <c r="J444" s="546"/>
    </row>
    <row r="445" spans="1:2" ht="12.75">
      <c r="A445" s="670" t="s">
        <v>313</v>
      </c>
      <c r="B445" s="671" t="s">
        <v>97</v>
      </c>
    </row>
    <row r="446" spans="1:2" ht="12.75">
      <c r="A446" s="190" t="s">
        <v>10</v>
      </c>
      <c r="B446" t="s">
        <v>496</v>
      </c>
    </row>
    <row r="447" spans="1:10" ht="12.75">
      <c r="A447" s="190"/>
      <c r="B447" s="666" t="s">
        <v>586</v>
      </c>
      <c r="C447" s="666"/>
      <c r="D447" s="666"/>
      <c r="E447" s="666"/>
      <c r="F447" s="666"/>
      <c r="G447" s="666"/>
      <c r="H447" s="666"/>
      <c r="I447" s="666"/>
      <c r="J447" s="208"/>
    </row>
    <row r="448" spans="1:10" ht="12.75">
      <c r="A448" s="190"/>
      <c r="B448" s="666" t="s">
        <v>497</v>
      </c>
      <c r="C448" s="666"/>
      <c r="D448" s="666"/>
      <c r="E448" s="666"/>
      <c r="F448" s="666"/>
      <c r="G448" s="666"/>
      <c r="H448" s="666"/>
      <c r="I448" s="666" t="s">
        <v>587</v>
      </c>
      <c r="J448" s="208"/>
    </row>
    <row r="449" spans="1:2" ht="12.75">
      <c r="A449" s="190" t="s">
        <v>11</v>
      </c>
      <c r="B449" t="s">
        <v>622</v>
      </c>
    </row>
    <row r="450" spans="1:2" ht="12.75">
      <c r="A450" s="700" t="s">
        <v>12</v>
      </c>
      <c r="B450" t="s">
        <v>515</v>
      </c>
    </row>
    <row r="451" spans="1:2" ht="12.75">
      <c r="A451" s="190" t="s">
        <v>9</v>
      </c>
      <c r="B451" t="s">
        <v>417</v>
      </c>
    </row>
    <row r="452" spans="1:2" ht="12.75">
      <c r="A452" s="190" t="s">
        <v>15</v>
      </c>
      <c r="B452" t="s">
        <v>588</v>
      </c>
    </row>
    <row r="454" spans="1:2" ht="12.75">
      <c r="A454" s="1004" t="s">
        <v>312</v>
      </c>
      <c r="B454" t="s">
        <v>667</v>
      </c>
    </row>
    <row r="455" ht="12.75">
      <c r="B455" t="s">
        <v>827</v>
      </c>
    </row>
    <row r="458" spans="1:6" ht="15.75">
      <c r="A458" s="70" t="s">
        <v>595</v>
      </c>
      <c r="B458" s="314"/>
      <c r="C458" s="314"/>
      <c r="D458" s="314"/>
      <c r="E458" s="314"/>
      <c r="F458" s="314"/>
    </row>
    <row r="459" ht="13.5" thickBot="1">
      <c r="A459" t="s">
        <v>416</v>
      </c>
    </row>
    <row r="460" spans="1:10" ht="39" thickBot="1">
      <c r="A460" s="1049"/>
      <c r="B460" s="1050" t="s">
        <v>590</v>
      </c>
      <c r="C460" s="311" t="s">
        <v>589</v>
      </c>
      <c r="D460" s="312" t="s">
        <v>591</v>
      </c>
      <c r="E460" s="312" t="s">
        <v>653</v>
      </c>
      <c r="F460" s="311" t="s">
        <v>592</v>
      </c>
      <c r="G460" s="312" t="s">
        <v>593</v>
      </c>
      <c r="H460" s="870" t="s">
        <v>594</v>
      </c>
      <c r="I460" s="866"/>
      <c r="J460" s="556"/>
    </row>
    <row r="461" spans="1:10" ht="13.5" thickBot="1">
      <c r="A461" s="310" t="s">
        <v>583</v>
      </c>
      <c r="B461" s="1051" t="s">
        <v>859</v>
      </c>
      <c r="C461" s="786" t="s">
        <v>858</v>
      </c>
      <c r="D461" s="785" t="s">
        <v>79</v>
      </c>
      <c r="E461" s="312" t="s">
        <v>79</v>
      </c>
      <c r="F461" s="785"/>
      <c r="G461" s="785"/>
      <c r="H461" s="312"/>
      <c r="I461" s="804"/>
      <c r="J461" s="54"/>
    </row>
    <row r="462" spans="1:10" ht="13.5" thickBot="1">
      <c r="A462" s="1049" t="s">
        <v>596</v>
      </c>
      <c r="B462" s="1052" t="s">
        <v>7</v>
      </c>
      <c r="C462" s="789" t="s">
        <v>8</v>
      </c>
      <c r="D462" s="789" t="s">
        <v>7</v>
      </c>
      <c r="E462" s="790" t="s">
        <v>7</v>
      </c>
      <c r="F462" s="789" t="s">
        <v>413</v>
      </c>
      <c r="G462" s="789" t="s">
        <v>413</v>
      </c>
      <c r="H462" s="790" t="s">
        <v>413</v>
      </c>
      <c r="I462" s="804"/>
      <c r="J462" s="54"/>
    </row>
    <row r="463" spans="1:10" ht="13.5" customHeight="1" thickBot="1">
      <c r="A463" s="310" t="s">
        <v>276</v>
      </c>
      <c r="B463" s="1053" t="s">
        <v>10</v>
      </c>
      <c r="C463" s="862" t="s">
        <v>11</v>
      </c>
      <c r="D463" s="862" t="s">
        <v>597</v>
      </c>
      <c r="E463" s="863" t="s">
        <v>599</v>
      </c>
      <c r="F463" s="862" t="s">
        <v>598</v>
      </c>
      <c r="G463" s="862" t="s">
        <v>834</v>
      </c>
      <c r="H463" s="863" t="s">
        <v>835</v>
      </c>
      <c r="I463" s="804"/>
      <c r="J463" s="54"/>
    </row>
    <row r="464" spans="1:10" ht="12.75">
      <c r="A464" s="1048">
        <v>1990</v>
      </c>
      <c r="B464" s="1054">
        <v>4489</v>
      </c>
      <c r="C464" s="595">
        <v>574.531</v>
      </c>
      <c r="D464" s="300">
        <f aca="true" t="shared" si="29" ref="D464:D469">C464/0.7</f>
        <v>820.7585714285714</v>
      </c>
      <c r="E464" s="174">
        <f aca="true" t="shared" si="30" ref="E464:E470">B464+D464</f>
        <v>5309.7585714285715</v>
      </c>
      <c r="F464" s="305">
        <v>1737.975678406746</v>
      </c>
      <c r="G464" s="300">
        <f aca="true" t="shared" si="31" ref="G464:G486">D464/I105</f>
        <v>317.76752839980463</v>
      </c>
      <c r="H464" s="1047">
        <f>F464+G464</f>
        <v>2055.743206806551</v>
      </c>
      <c r="I464" s="54"/>
      <c r="J464" s="54"/>
    </row>
    <row r="465" spans="1:10" ht="12.75">
      <c r="A465" s="797">
        <v>1991</v>
      </c>
      <c r="B465" s="1055">
        <v>4014</v>
      </c>
      <c r="C465" s="595">
        <v>623.443</v>
      </c>
      <c r="D465" s="300">
        <f t="shared" si="29"/>
        <v>890.6328571428571</v>
      </c>
      <c r="E465" s="174">
        <f t="shared" si="30"/>
        <v>4904.632857142857</v>
      </c>
      <c r="F465" s="301">
        <v>1484.4932664747496</v>
      </c>
      <c r="G465" s="300">
        <f t="shared" si="31"/>
        <v>329.3817835898706</v>
      </c>
      <c r="H465" s="971">
        <f aca="true" t="shared" si="32" ref="H465:H486">F465+G465</f>
        <v>1813.8750500646202</v>
      </c>
      <c r="I465" s="54"/>
      <c r="J465" s="54"/>
    </row>
    <row r="466" spans="1:10" ht="12.75">
      <c r="A466" s="797">
        <v>1992</v>
      </c>
      <c r="B466" s="1055">
        <v>3466</v>
      </c>
      <c r="C466" s="595">
        <v>746.039</v>
      </c>
      <c r="D466" s="300">
        <f t="shared" si="29"/>
        <v>1065.77</v>
      </c>
      <c r="E466" s="174">
        <f t="shared" si="30"/>
        <v>4531.77</v>
      </c>
      <c r="F466" s="301">
        <v>1268.127676321351</v>
      </c>
      <c r="G466" s="300">
        <f t="shared" si="31"/>
        <v>389.94011355828223</v>
      </c>
      <c r="H466" s="971">
        <f t="shared" si="32"/>
        <v>1658.0677898796332</v>
      </c>
      <c r="I466" s="54"/>
      <c r="J466" s="54"/>
    </row>
    <row r="467" spans="1:10" ht="12.75">
      <c r="A467" s="797">
        <v>1993</v>
      </c>
      <c r="B467" s="1055">
        <v>3381</v>
      </c>
      <c r="C467" s="595">
        <v>781.611</v>
      </c>
      <c r="D467" s="300">
        <f t="shared" si="29"/>
        <v>1116.587142857143</v>
      </c>
      <c r="E467" s="174">
        <f t="shared" si="30"/>
        <v>4497.587142857143</v>
      </c>
      <c r="F467" s="301">
        <v>1221.7743014700961</v>
      </c>
      <c r="G467" s="300">
        <f t="shared" si="31"/>
        <v>403.4952607201349</v>
      </c>
      <c r="H467" s="971">
        <f t="shared" si="32"/>
        <v>1625.269562190231</v>
      </c>
      <c r="I467" s="54"/>
      <c r="J467" s="54"/>
    </row>
    <row r="468" spans="1:10" ht="12.75">
      <c r="A468" s="797">
        <v>1994</v>
      </c>
      <c r="B468" s="1055">
        <v>3396</v>
      </c>
      <c r="C468" s="595">
        <v>670.039</v>
      </c>
      <c r="D468" s="300">
        <f t="shared" si="29"/>
        <v>957.1985714285714</v>
      </c>
      <c r="E468" s="174">
        <f t="shared" si="30"/>
        <v>4353.198571428571</v>
      </c>
      <c r="F468" s="301">
        <v>1210.0668449503883</v>
      </c>
      <c r="G468" s="741">
        <f t="shared" si="31"/>
        <v>341.0701576323882</v>
      </c>
      <c r="H468" s="971">
        <f t="shared" si="32"/>
        <v>1551.1370025827764</v>
      </c>
      <c r="I468" s="54"/>
      <c r="J468" s="54"/>
    </row>
    <row r="469" spans="1:10" ht="12.75">
      <c r="A469" s="797">
        <v>1995</v>
      </c>
      <c r="B469" s="1056">
        <v>3338</v>
      </c>
      <c r="C469" s="595">
        <v>785.475</v>
      </c>
      <c r="D469" s="300">
        <f t="shared" si="29"/>
        <v>1122.107142857143</v>
      </c>
      <c r="E469" s="174">
        <f t="shared" si="30"/>
        <v>4460.107142857143</v>
      </c>
      <c r="F469" s="301">
        <v>1170.6172973447624</v>
      </c>
      <c r="G469" s="741">
        <f t="shared" si="31"/>
        <v>393.5164861901383</v>
      </c>
      <c r="H469" s="971">
        <f t="shared" si="32"/>
        <v>1564.1337835349007</v>
      </c>
      <c r="I469" s="54"/>
      <c r="J469" s="54"/>
    </row>
    <row r="470" spans="1:10" ht="12.75">
      <c r="A470" s="797">
        <v>1996</v>
      </c>
      <c r="B470" s="791">
        <v>3569</v>
      </c>
      <c r="C470" s="792">
        <v>674</v>
      </c>
      <c r="D470" s="787">
        <f aca="true" t="shared" si="33" ref="D470:D486">C470/0.7</f>
        <v>962.8571428571429</v>
      </c>
      <c r="E470" s="787">
        <f t="shared" si="30"/>
        <v>4531.857142857143</v>
      </c>
      <c r="F470" s="865">
        <f aca="true" t="shared" si="34" ref="F470:F486">B470/I111</f>
        <v>1232.4825264178799</v>
      </c>
      <c r="G470" s="788">
        <f t="shared" si="31"/>
        <v>332.50339142843177</v>
      </c>
      <c r="H470" s="1046">
        <f t="shared" si="32"/>
        <v>1564.9859178463116</v>
      </c>
      <c r="I470" s="54"/>
      <c r="J470" s="54"/>
    </row>
    <row r="471" spans="1:10" ht="12.75">
      <c r="A471" s="797">
        <v>1997</v>
      </c>
      <c r="B471" s="793">
        <v>3483</v>
      </c>
      <c r="C471" s="794">
        <v>699</v>
      </c>
      <c r="D471" s="174">
        <f t="shared" si="33"/>
        <v>998.5714285714287</v>
      </c>
      <c r="E471" s="174">
        <f aca="true" t="shared" si="35" ref="E471:E486">B471+D471</f>
        <v>4481.571428571428</v>
      </c>
      <c r="F471" s="864">
        <f t="shared" si="34"/>
        <v>1189.4535931550486</v>
      </c>
      <c r="G471" s="741">
        <f t="shared" si="31"/>
        <v>341.01474985249945</v>
      </c>
      <c r="H471" s="971">
        <f t="shared" si="32"/>
        <v>1530.468343007548</v>
      </c>
      <c r="I471" s="54"/>
      <c r="J471" s="54"/>
    </row>
    <row r="472" spans="1:10" ht="12.75">
      <c r="A472" s="797">
        <v>1998</v>
      </c>
      <c r="B472" s="793">
        <v>3296</v>
      </c>
      <c r="C472" s="794">
        <v>724</v>
      </c>
      <c r="D472" s="174">
        <f t="shared" si="33"/>
        <v>1034.2857142857144</v>
      </c>
      <c r="E472" s="174">
        <f t="shared" si="35"/>
        <v>4330.285714285715</v>
      </c>
      <c r="F472" s="864">
        <f t="shared" si="34"/>
        <v>1121.3644921351877</v>
      </c>
      <c r="G472" s="741">
        <f t="shared" si="31"/>
        <v>351.88448869013354</v>
      </c>
      <c r="H472" s="971">
        <f t="shared" si="32"/>
        <v>1473.2489808253213</v>
      </c>
      <c r="I472" s="54"/>
      <c r="J472" s="54"/>
    </row>
    <row r="473" spans="1:10" ht="12.75">
      <c r="A473" s="797">
        <v>1999</v>
      </c>
      <c r="B473" s="793">
        <v>3183</v>
      </c>
      <c r="C473" s="795">
        <v>710</v>
      </c>
      <c r="D473" s="174">
        <f t="shared" si="33"/>
        <v>1014.2857142857143</v>
      </c>
      <c r="E473" s="174">
        <f t="shared" si="35"/>
        <v>4197.285714285715</v>
      </c>
      <c r="F473" s="864">
        <f t="shared" si="34"/>
        <v>1075.5206988753307</v>
      </c>
      <c r="G473" s="741">
        <f t="shared" si="31"/>
        <v>342.7223626414815</v>
      </c>
      <c r="H473" s="971">
        <f t="shared" si="32"/>
        <v>1418.2430615168123</v>
      </c>
      <c r="I473" s="54"/>
      <c r="J473" s="54"/>
    </row>
    <row r="474" spans="1:10" ht="12.75">
      <c r="A474" s="797">
        <v>2000</v>
      </c>
      <c r="B474" s="793">
        <v>2721</v>
      </c>
      <c r="C474" s="795">
        <v>710</v>
      </c>
      <c r="D474" s="174">
        <f t="shared" si="33"/>
        <v>1014.2857142857143</v>
      </c>
      <c r="E474" s="174">
        <f t="shared" si="35"/>
        <v>3735.285714285714</v>
      </c>
      <c r="F474" s="864">
        <f t="shared" si="34"/>
        <v>912.8311349078317</v>
      </c>
      <c r="G474" s="741">
        <f t="shared" si="31"/>
        <v>340.26886427498323</v>
      </c>
      <c r="H474" s="971">
        <f t="shared" si="32"/>
        <v>1253.0999991828148</v>
      </c>
      <c r="I474" s="54"/>
      <c r="J474" s="54"/>
    </row>
    <row r="475" spans="1:10" ht="12.75">
      <c r="A475" s="797">
        <v>2001</v>
      </c>
      <c r="B475" s="793">
        <v>2516</v>
      </c>
      <c r="C475" s="795">
        <v>731</v>
      </c>
      <c r="D475" s="174">
        <f t="shared" si="33"/>
        <v>1044.2857142857144</v>
      </c>
      <c r="E475" s="174">
        <f t="shared" si="35"/>
        <v>3560.2857142857147</v>
      </c>
      <c r="F475" s="864">
        <f t="shared" si="34"/>
        <v>836.5622406885</v>
      </c>
      <c r="G475" s="741">
        <f t="shared" si="31"/>
        <v>347.22177943634654</v>
      </c>
      <c r="H475" s="971">
        <f t="shared" si="32"/>
        <v>1183.7840201248464</v>
      </c>
      <c r="I475" s="54"/>
      <c r="J475" s="54"/>
    </row>
    <row r="476" spans="1:10" ht="12.75">
      <c r="A476" s="797">
        <v>2002</v>
      </c>
      <c r="B476" s="793">
        <v>2581</v>
      </c>
      <c r="C476" s="795">
        <v>775</v>
      </c>
      <c r="D476" s="174">
        <f t="shared" si="33"/>
        <v>1107.142857142857</v>
      </c>
      <c r="E476" s="174">
        <f t="shared" si="35"/>
        <v>3688.142857142857</v>
      </c>
      <c r="F476" s="864">
        <f t="shared" si="34"/>
        <v>843.1555675520018</v>
      </c>
      <c r="G476" s="741">
        <f t="shared" si="31"/>
        <v>361.6790639579351</v>
      </c>
      <c r="H476" s="971">
        <f t="shared" si="32"/>
        <v>1204.834631509937</v>
      </c>
      <c r="I476" s="54"/>
      <c r="J476" s="54"/>
    </row>
    <row r="477" spans="1:10" ht="12.75">
      <c r="A477" s="797">
        <v>2003</v>
      </c>
      <c r="B477" s="793">
        <v>2596</v>
      </c>
      <c r="C477" s="794">
        <v>802.689</v>
      </c>
      <c r="D477" s="174">
        <f t="shared" si="33"/>
        <v>1146.6985714285715</v>
      </c>
      <c r="E477" s="174">
        <f t="shared" si="35"/>
        <v>3742.6985714285715</v>
      </c>
      <c r="F477" s="864">
        <f t="shared" si="34"/>
        <v>830.4701945654747</v>
      </c>
      <c r="G477" s="741">
        <f t="shared" si="31"/>
        <v>366.8331994307541</v>
      </c>
      <c r="H477" s="971">
        <f t="shared" si="32"/>
        <v>1197.3033939962288</v>
      </c>
      <c r="I477" s="54"/>
      <c r="J477" s="54"/>
    </row>
    <row r="478" spans="1:10" ht="12.75">
      <c r="A478" s="306">
        <v>2004</v>
      </c>
      <c r="B478" s="793">
        <v>2331</v>
      </c>
      <c r="C478" s="794">
        <v>837</v>
      </c>
      <c r="D478" s="174">
        <f t="shared" si="33"/>
        <v>1195.7142857142858</v>
      </c>
      <c r="E478" s="174">
        <f t="shared" si="35"/>
        <v>3526.714285714286</v>
      </c>
      <c r="F478" s="864">
        <f t="shared" si="34"/>
        <v>733.4801762114538</v>
      </c>
      <c r="G478" s="741">
        <f t="shared" si="31"/>
        <v>376.2474152656658</v>
      </c>
      <c r="H478" s="971">
        <f t="shared" si="32"/>
        <v>1109.7275914771196</v>
      </c>
      <c r="I478" s="54"/>
      <c r="J478" s="54"/>
    </row>
    <row r="479" spans="1:10" ht="12.75">
      <c r="A479" s="306">
        <v>2005</v>
      </c>
      <c r="B479" s="793">
        <f>2335</f>
        <v>2335</v>
      </c>
      <c r="C479" s="794">
        <v>834</v>
      </c>
      <c r="D479" s="174">
        <f t="shared" si="33"/>
        <v>1191.4285714285716</v>
      </c>
      <c r="E479" s="174">
        <f t="shared" si="35"/>
        <v>3526.4285714285716</v>
      </c>
      <c r="F479" s="864">
        <f t="shared" si="34"/>
        <v>724.9323965613057</v>
      </c>
      <c r="G479" s="741">
        <f t="shared" si="31"/>
        <v>369.89514758772043</v>
      </c>
      <c r="H479" s="971">
        <f t="shared" si="32"/>
        <v>1094.8275441490262</v>
      </c>
      <c r="I479" s="54"/>
      <c r="J479" s="54"/>
    </row>
    <row r="480" spans="1:10" ht="12.75">
      <c r="A480" s="306">
        <v>2006</v>
      </c>
      <c r="B480" s="793">
        <v>2350</v>
      </c>
      <c r="C480" s="59">
        <v>836</v>
      </c>
      <c r="D480" s="174">
        <f t="shared" si="33"/>
        <v>1194.2857142857144</v>
      </c>
      <c r="E480" s="174">
        <f t="shared" si="35"/>
        <v>3544.2857142857147</v>
      </c>
      <c r="F480" s="864">
        <f t="shared" si="34"/>
        <v>719.4310677887751</v>
      </c>
      <c r="G480" s="741">
        <f t="shared" si="31"/>
        <v>365.6196794355113</v>
      </c>
      <c r="H480" s="971">
        <f t="shared" si="32"/>
        <v>1085.0507472242864</v>
      </c>
      <c r="I480" s="54"/>
      <c r="J480" s="54"/>
    </row>
    <row r="481" spans="1:10" ht="12.75">
      <c r="A481" s="797">
        <v>2007</v>
      </c>
      <c r="B481" s="793">
        <v>2344</v>
      </c>
      <c r="C481" s="59">
        <v>794</v>
      </c>
      <c r="D481" s="174">
        <f t="shared" si="33"/>
        <v>1134.2857142857144</v>
      </c>
      <c r="E481" s="174">
        <f t="shared" si="35"/>
        <v>3478.2857142857147</v>
      </c>
      <c r="F481" s="864">
        <f t="shared" si="34"/>
        <v>701.300877224476</v>
      </c>
      <c r="G481" s="741">
        <f t="shared" si="31"/>
        <v>339.3667092371002</v>
      </c>
      <c r="H481" s="971">
        <f t="shared" si="32"/>
        <v>1040.6675864615763</v>
      </c>
      <c r="I481" s="54"/>
      <c r="J481" s="54"/>
    </row>
    <row r="482" spans="1:10" ht="12.75">
      <c r="A482" s="306">
        <v>2008</v>
      </c>
      <c r="B482" s="793">
        <f>(B481+B483)/2</f>
        <v>2324.486</v>
      </c>
      <c r="C482" s="59">
        <v>870</v>
      </c>
      <c r="D482" s="174">
        <f t="shared" si="33"/>
        <v>1242.857142857143</v>
      </c>
      <c r="E482" s="174">
        <f t="shared" si="35"/>
        <v>3567.343142857143</v>
      </c>
      <c r="F482" s="864">
        <f t="shared" si="34"/>
        <v>687.3842277711406</v>
      </c>
      <c r="G482" s="741">
        <f t="shared" si="31"/>
        <v>367.5308852678413</v>
      </c>
      <c r="H482" s="971">
        <f t="shared" si="32"/>
        <v>1054.9151130389819</v>
      </c>
      <c r="I482" s="54"/>
      <c r="J482" s="54"/>
    </row>
    <row r="483" spans="1:10" ht="12.75">
      <c r="A483" s="306">
        <v>2009</v>
      </c>
      <c r="B483" s="793">
        <v>2304.972</v>
      </c>
      <c r="C483" s="41">
        <v>825</v>
      </c>
      <c r="D483" s="174">
        <f t="shared" si="33"/>
        <v>1178.5714285714287</v>
      </c>
      <c r="E483" s="174">
        <f t="shared" si="35"/>
        <v>3483.543428571429</v>
      </c>
      <c r="F483" s="864">
        <f t="shared" si="34"/>
        <v>672.6310260301157</v>
      </c>
      <c r="G483" s="741">
        <f t="shared" si="31"/>
        <v>343.9276959762544</v>
      </c>
      <c r="H483" s="971">
        <f t="shared" si="32"/>
        <v>1016.5587220063701</v>
      </c>
      <c r="I483" s="54"/>
      <c r="J483" s="54"/>
    </row>
    <row r="484" spans="1:10" ht="12.75">
      <c r="A484" s="306">
        <v>2010</v>
      </c>
      <c r="B484" s="793">
        <v>2220</v>
      </c>
      <c r="C484" s="41">
        <v>771</v>
      </c>
      <c r="D484" s="101">
        <f t="shared" si="33"/>
        <v>1101.4285714285716</v>
      </c>
      <c r="E484" s="174">
        <f t="shared" si="35"/>
        <v>3321.4285714285716</v>
      </c>
      <c r="F484" s="864">
        <f t="shared" si="34"/>
        <v>638.7165824634895</v>
      </c>
      <c r="G484" s="742">
        <f t="shared" si="31"/>
        <v>316.8922040407661</v>
      </c>
      <c r="H484" s="971">
        <f t="shared" si="32"/>
        <v>955.6087865042557</v>
      </c>
      <c r="I484" s="54"/>
      <c r="J484" s="54"/>
    </row>
    <row r="485" spans="1:10" ht="12.75">
      <c r="A485" s="306">
        <v>2011</v>
      </c>
      <c r="B485" s="793">
        <v>2083</v>
      </c>
      <c r="C485" s="41">
        <v>630.8</v>
      </c>
      <c r="D485" s="174">
        <f t="shared" si="33"/>
        <v>901.1428571428571</v>
      </c>
      <c r="E485" s="174">
        <f t="shared" si="35"/>
        <v>2984.142857142857</v>
      </c>
      <c r="F485" s="864">
        <f t="shared" si="34"/>
        <v>592.9236287039936</v>
      </c>
      <c r="G485" s="741">
        <f t="shared" si="31"/>
        <v>256.5093100517654</v>
      </c>
      <c r="H485" s="971">
        <f t="shared" si="32"/>
        <v>849.432938755759</v>
      </c>
      <c r="I485" s="54"/>
      <c r="J485" s="54"/>
    </row>
    <row r="486" spans="1:10" ht="12.75">
      <c r="A486" s="306">
        <v>2012</v>
      </c>
      <c r="B486" s="793">
        <v>2016.9</v>
      </c>
      <c r="C486" s="41">
        <v>592.5</v>
      </c>
      <c r="D486" s="174">
        <f t="shared" si="33"/>
        <v>846.4285714285714</v>
      </c>
      <c r="E486" s="174">
        <f t="shared" si="35"/>
        <v>2863.3285714285716</v>
      </c>
      <c r="F486" s="864">
        <f t="shared" si="34"/>
        <v>569.2151384302769</v>
      </c>
      <c r="G486" s="741">
        <f t="shared" si="31"/>
        <v>238.88143014381268</v>
      </c>
      <c r="H486" s="971">
        <f t="shared" si="32"/>
        <v>808.0965685740896</v>
      </c>
      <c r="I486" s="54"/>
      <c r="J486" s="54"/>
    </row>
    <row r="487" spans="1:10" ht="15.75">
      <c r="A487" s="1067" t="s">
        <v>729</v>
      </c>
      <c r="B487" s="1064">
        <f>(B486-B485)*100/B485</f>
        <v>-3.1733077292366736</v>
      </c>
      <c r="C487" s="1057">
        <f aca="true" t="shared" si="36" ref="C487:H487">(C486-C485)*100/C485</f>
        <v>-6.071655041217495</v>
      </c>
      <c r="D487" s="1057">
        <f t="shared" si="36"/>
        <v>-6.071655041217497</v>
      </c>
      <c r="E487" s="1057">
        <f t="shared" si="36"/>
        <v>-4.048542294987777</v>
      </c>
      <c r="F487" s="1057">
        <f t="shared" si="36"/>
        <v>-3.998574036514367</v>
      </c>
      <c r="G487" s="1057">
        <f t="shared" si="36"/>
        <v>-6.872218362910604</v>
      </c>
      <c r="H487" s="1058">
        <f t="shared" si="36"/>
        <v>-4.866348865893816</v>
      </c>
      <c r="I487" s="546"/>
      <c r="J487" s="546"/>
    </row>
    <row r="488" spans="1:10" ht="15.75">
      <c r="A488" s="1068" t="s">
        <v>796</v>
      </c>
      <c r="B488" s="1065">
        <f>(B486-B464)*100/B464</f>
        <v>-55.07017153040766</v>
      </c>
      <c r="C488" s="1059">
        <f aca="true" t="shared" si="37" ref="C488:H488">(C486-C464)*100/C464</f>
        <v>3.127594507520056</v>
      </c>
      <c r="D488" s="1059">
        <f t="shared" si="37"/>
        <v>3.127594507520056</v>
      </c>
      <c r="E488" s="1059">
        <f t="shared" si="37"/>
        <v>-46.074222906556685</v>
      </c>
      <c r="F488" s="1059">
        <f t="shared" si="37"/>
        <v>-67.24838296056633</v>
      </c>
      <c r="G488" s="1059">
        <f t="shared" si="37"/>
        <v>-24.8250973449811</v>
      </c>
      <c r="H488" s="1060">
        <f t="shared" si="37"/>
        <v>-60.69078249177778</v>
      </c>
      <c r="I488" s="54"/>
      <c r="J488" s="54"/>
    </row>
    <row r="489" spans="1:8" ht="15.75">
      <c r="A489" s="1067" t="s">
        <v>842</v>
      </c>
      <c r="B489" s="1070">
        <f>(B484-B474)*100/B474</f>
        <v>-18.412348401323044</v>
      </c>
      <c r="C489" s="1071">
        <f aca="true" t="shared" si="38" ref="C489:H489">(C484-C474)*100/C474</f>
        <v>8.591549295774648</v>
      </c>
      <c r="D489" s="1071">
        <f t="shared" si="38"/>
        <v>8.591549295774655</v>
      </c>
      <c r="E489" s="1071">
        <f t="shared" si="38"/>
        <v>-11.07966497112479</v>
      </c>
      <c r="F489" s="1071">
        <f t="shared" si="38"/>
        <v>-30.029053782441306</v>
      </c>
      <c r="G489" s="1071">
        <f t="shared" si="38"/>
        <v>-6.870055620289026</v>
      </c>
      <c r="H489" s="1072">
        <f t="shared" si="38"/>
        <v>-23.740420786255076</v>
      </c>
    </row>
    <row r="490" spans="1:8" ht="15.75">
      <c r="A490" s="1069" t="s">
        <v>660</v>
      </c>
      <c r="B490" s="1066">
        <f>(B486-B484)*100/B484</f>
        <v>-9.148648648648646</v>
      </c>
      <c r="C490" s="1061">
        <f aca="true" t="shared" si="39" ref="C490:H490">(C486-C484)*100/C484</f>
        <v>-23.151750972762645</v>
      </c>
      <c r="D490" s="1061">
        <f t="shared" si="39"/>
        <v>-23.151750972762652</v>
      </c>
      <c r="E490" s="1061">
        <f t="shared" si="39"/>
        <v>-13.792258064516126</v>
      </c>
      <c r="F490" s="1061">
        <f t="shared" si="39"/>
        <v>-10.88142157905937</v>
      </c>
      <c r="G490" s="1061">
        <f t="shared" si="39"/>
        <v>-24.617448110814948</v>
      </c>
      <c r="H490" s="1073">
        <f t="shared" si="39"/>
        <v>-15.436465216041542</v>
      </c>
    </row>
  </sheetData>
  <sheetProtection/>
  <printOptions/>
  <pageMargins left="0.75" right="0.75" top="1" bottom="1" header="0.5" footer="0.5"/>
  <pageSetup fitToHeight="0" fitToWidth="1" horizontalDpi="300" verticalDpi="300" orientation="portrait" paperSize="8" scale="88" r:id="rId3"/>
  <headerFooter alignWithMargins="0">
    <oddHeader xml:space="preserve">&amp;LManufacturers Returns &amp;CAnalysed for 2012 year&amp;RReport to Ministry of Health </oddHeader>
    <oddFooter>&amp;LAnalysed by Health NZ Ltd&amp;C30 August 2013&amp;RTobacco Used 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showGridLines="0" view="pageLayout" zoomScaleSheetLayoutView="100" workbookViewId="0" topLeftCell="A67">
      <selection activeCell="Q9" sqref="Q9"/>
    </sheetView>
  </sheetViews>
  <sheetFormatPr defaultColWidth="9.140625" defaultRowHeight="12.75"/>
  <sheetData>
    <row r="1" spans="1:9" ht="12.75">
      <c r="A1" s="54"/>
      <c r="B1" s="54"/>
      <c r="C1" s="54"/>
      <c r="D1" s="54"/>
      <c r="E1" s="54"/>
      <c r="F1" s="54"/>
      <c r="G1" s="54"/>
      <c r="H1" s="54"/>
      <c r="I1" s="54"/>
    </row>
    <row r="2" spans="1:10" ht="12.7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20.25">
      <c r="A3" s="296" t="s">
        <v>260</v>
      </c>
      <c r="B3" s="290"/>
      <c r="C3" s="280" t="s">
        <v>259</v>
      </c>
      <c r="D3" s="290"/>
      <c r="E3" s="219"/>
      <c r="F3" s="219"/>
      <c r="H3" s="26"/>
      <c r="I3" s="26"/>
      <c r="J3" s="91"/>
    </row>
    <row r="4" spans="1:10" ht="20.25">
      <c r="A4" s="296"/>
      <c r="B4" s="290"/>
      <c r="C4" s="726"/>
      <c r="D4" s="726"/>
      <c r="E4" s="727"/>
      <c r="F4" s="727"/>
      <c r="G4" s="4"/>
      <c r="H4" s="4"/>
      <c r="I4" s="4"/>
      <c r="J4" s="191"/>
    </row>
    <row r="5" spans="1:10" ht="18">
      <c r="A5" s="295" t="s">
        <v>844</v>
      </c>
      <c r="B5" s="295"/>
      <c r="C5" s="294"/>
      <c r="D5" s="294"/>
      <c r="E5" s="294"/>
      <c r="F5" s="294"/>
      <c r="G5" s="294"/>
      <c r="H5" s="294"/>
      <c r="I5" s="216"/>
      <c r="J5" s="216"/>
    </row>
    <row r="6" spans="1:6" ht="18">
      <c r="A6" s="295"/>
      <c r="B6" s="295"/>
      <c r="C6" s="294"/>
      <c r="D6" s="294"/>
      <c r="E6" s="294"/>
      <c r="F6" s="294"/>
    </row>
    <row r="7" spans="1:10" ht="18">
      <c r="A7" s="979" t="s">
        <v>258</v>
      </c>
      <c r="B7" s="280" t="s">
        <v>257</v>
      </c>
      <c r="C7" s="216"/>
      <c r="D7" s="216"/>
      <c r="E7" s="216"/>
      <c r="F7" s="216"/>
      <c r="G7" s="216"/>
      <c r="H7" s="216"/>
      <c r="I7" s="216"/>
      <c r="J7" s="216"/>
    </row>
    <row r="8" spans="1:10" ht="15.75">
      <c r="A8" s="293"/>
      <c r="B8" s="292" t="s">
        <v>255</v>
      </c>
      <c r="C8" s="291"/>
      <c r="E8" s="290" t="s">
        <v>256</v>
      </c>
      <c r="F8" s="290"/>
      <c r="G8" s="219"/>
      <c r="H8" s="219"/>
      <c r="I8" s="219"/>
      <c r="J8" s="289"/>
    </row>
    <row r="9" spans="1:10" ht="12.75">
      <c r="A9" s="238" t="s">
        <v>239</v>
      </c>
      <c r="B9" s="288" t="s">
        <v>255</v>
      </c>
      <c r="C9" s="287" t="s">
        <v>252</v>
      </c>
      <c r="D9" s="240" t="s">
        <v>0</v>
      </c>
      <c r="E9" s="240" t="s">
        <v>1</v>
      </c>
      <c r="F9" s="240" t="s">
        <v>3</v>
      </c>
      <c r="G9" s="240" t="s">
        <v>237</v>
      </c>
      <c r="H9" s="240" t="s">
        <v>236</v>
      </c>
      <c r="I9" s="240" t="s">
        <v>254</v>
      </c>
      <c r="J9" s="287" t="s">
        <v>253</v>
      </c>
    </row>
    <row r="10" spans="1:12" ht="12.75">
      <c r="A10" s="286" t="s">
        <v>234</v>
      </c>
      <c r="B10" s="235" t="s">
        <v>8</v>
      </c>
      <c r="C10" s="285" t="s">
        <v>814</v>
      </c>
      <c r="D10" s="234" t="s">
        <v>8</v>
      </c>
      <c r="E10" s="234" t="s">
        <v>8</v>
      </c>
      <c r="F10" s="234" t="s">
        <v>8</v>
      </c>
      <c r="G10" s="234" t="s">
        <v>8</v>
      </c>
      <c r="H10" s="234" t="s">
        <v>8</v>
      </c>
      <c r="I10" s="234" t="s">
        <v>251</v>
      </c>
      <c r="J10" s="285" t="s">
        <v>250</v>
      </c>
      <c r="L10" s="492"/>
    </row>
    <row r="11" spans="1:12" ht="12.75">
      <c r="A11" s="675">
        <v>1990</v>
      </c>
      <c r="B11" s="676">
        <v>120.49497</v>
      </c>
      <c r="C11" s="964">
        <v>2.7441901077541546</v>
      </c>
      <c r="D11" s="677">
        <v>12.164</v>
      </c>
      <c r="E11" s="677">
        <v>3.072</v>
      </c>
      <c r="F11" s="677">
        <v>0.0841</v>
      </c>
      <c r="G11" s="677"/>
      <c r="H11" s="678">
        <v>15.3201</v>
      </c>
      <c r="I11" s="284">
        <v>0.0040633379004917855</v>
      </c>
      <c r="J11" s="283">
        <v>0.0034128090888839386</v>
      </c>
      <c r="L11" s="492"/>
    </row>
    <row r="12" spans="1:12" ht="12.75">
      <c r="A12" s="675">
        <v>1991</v>
      </c>
      <c r="B12" s="676">
        <v>130.343</v>
      </c>
      <c r="C12" s="964">
        <v>3.397636065050142</v>
      </c>
      <c r="D12" s="677">
        <v>10.184</v>
      </c>
      <c r="E12" s="677">
        <v>1.803</v>
      </c>
      <c r="F12" s="677"/>
      <c r="G12" s="677"/>
      <c r="H12" s="678">
        <v>11.987</v>
      </c>
      <c r="I12" s="284">
        <v>0.0038050839629376505</v>
      </c>
      <c r="J12" s="283">
        <v>0.002986297957149975</v>
      </c>
      <c r="L12" s="492"/>
    </row>
    <row r="13" spans="1:12" ht="12.75">
      <c r="A13" s="675">
        <v>1992</v>
      </c>
      <c r="B13" s="676">
        <v>120.632</v>
      </c>
      <c r="C13" s="964">
        <v>3.5551456512071247</v>
      </c>
      <c r="D13" s="677">
        <v>9.156</v>
      </c>
      <c r="E13" s="677">
        <v>9.209</v>
      </c>
      <c r="F13" s="677"/>
      <c r="G13" s="677"/>
      <c r="H13" s="678">
        <v>18.365</v>
      </c>
      <c r="I13" s="284">
        <v>0.006730483154292186</v>
      </c>
      <c r="J13" s="283">
        <v>0.005298615118291979</v>
      </c>
      <c r="L13" s="492"/>
    </row>
    <row r="14" spans="1:12" ht="12.75">
      <c r="A14" s="675">
        <v>1993</v>
      </c>
      <c r="B14" s="676">
        <v>155.2875</v>
      </c>
      <c r="C14" s="964">
        <v>4.669350533262509</v>
      </c>
      <c r="D14" s="677">
        <v>8.973</v>
      </c>
      <c r="E14" s="677">
        <v>7.83</v>
      </c>
      <c r="F14" s="677">
        <v>3.3375</v>
      </c>
      <c r="G14" s="677"/>
      <c r="H14" s="678">
        <v>20.1405</v>
      </c>
      <c r="I14" s="284">
        <v>0.007767414843528603</v>
      </c>
      <c r="J14" s="283">
        <v>0.005956965394853593</v>
      </c>
      <c r="L14" s="492"/>
    </row>
    <row r="15" spans="1:12" ht="12.75">
      <c r="A15" s="675">
        <v>1994</v>
      </c>
      <c r="B15" s="676">
        <v>120.67461</v>
      </c>
      <c r="C15" s="964">
        <v>3.525187579478681</v>
      </c>
      <c r="D15" s="677">
        <v>7.855</v>
      </c>
      <c r="E15" s="677">
        <v>6.668</v>
      </c>
      <c r="F15" s="677">
        <v>3.86261</v>
      </c>
      <c r="G15" s="677"/>
      <c r="H15" s="678">
        <v>18.38561</v>
      </c>
      <c r="I15" s="284">
        <v>0.0070782819496576724</v>
      </c>
      <c r="J15" s="283">
        <v>0.005413901648998822</v>
      </c>
      <c r="L15" s="492"/>
    </row>
    <row r="16" spans="1:12" ht="12.75">
      <c r="A16" s="675">
        <v>1995</v>
      </c>
      <c r="B16" s="676">
        <v>113.11698</v>
      </c>
      <c r="C16" s="964">
        <v>3.277095754797022</v>
      </c>
      <c r="D16" s="677">
        <v>7.242</v>
      </c>
      <c r="E16" s="677">
        <v>6.848</v>
      </c>
      <c r="F16" s="677">
        <v>4.71434</v>
      </c>
      <c r="G16" s="677"/>
      <c r="H16" s="678">
        <v>19.10604</v>
      </c>
      <c r="I16" s="284">
        <v>0.0072495578505341034</v>
      </c>
      <c r="J16" s="283">
        <v>0.005596379613356766</v>
      </c>
      <c r="L16" s="492"/>
    </row>
    <row r="17" spans="1:15" ht="12.75">
      <c r="A17" s="675">
        <v>1996</v>
      </c>
      <c r="B17" s="676">
        <v>97.53035</v>
      </c>
      <c r="C17" s="964">
        <v>2.825183616769255</v>
      </c>
      <c r="D17" s="677">
        <v>7.554</v>
      </c>
      <c r="E17" s="677">
        <v>7.5375</v>
      </c>
      <c r="F17" s="677"/>
      <c r="G17" s="677">
        <v>0.16045</v>
      </c>
      <c r="H17" s="678">
        <v>15.25195</v>
      </c>
      <c r="I17" s="284">
        <v>0.005553319364133467</v>
      </c>
      <c r="J17" s="283">
        <f>15/3569</f>
        <v>0.004202857943401513</v>
      </c>
      <c r="L17" s="492"/>
      <c r="O17" s="1221"/>
    </row>
    <row r="18" spans="1:12" ht="12.75">
      <c r="A18" s="675">
        <v>1997</v>
      </c>
      <c r="B18" s="676">
        <v>82.11996</v>
      </c>
      <c r="C18" s="964">
        <v>2.414034519181824</v>
      </c>
      <c r="D18" s="677">
        <v>7.101</v>
      </c>
      <c r="E18" s="677">
        <v>6.34</v>
      </c>
      <c r="F18" s="677">
        <v>7.1562</v>
      </c>
      <c r="G18" s="677">
        <v>0.14736</v>
      </c>
      <c r="H18" s="678">
        <v>20.74456</v>
      </c>
      <c r="I18" s="284">
        <v>0.007765291782208012</v>
      </c>
      <c r="J18" s="283">
        <v>0.005955946023542923</v>
      </c>
      <c r="L18" s="492"/>
    </row>
    <row r="19" spans="1:12" ht="12.75">
      <c r="A19" s="675">
        <v>1998</v>
      </c>
      <c r="B19" s="676">
        <v>89.80214000000001</v>
      </c>
      <c r="C19" s="964">
        <v>2.756080004689766</v>
      </c>
      <c r="D19" s="677">
        <v>6.519</v>
      </c>
      <c r="E19" s="677">
        <v>4.168</v>
      </c>
      <c r="F19" s="677">
        <v>7.2325</v>
      </c>
      <c r="G19" s="677">
        <v>0.15764</v>
      </c>
      <c r="H19" s="678">
        <v>18.07714</v>
      </c>
      <c r="I19" s="284">
        <v>0.007224650516482576</v>
      </c>
      <c r="J19" s="283">
        <v>0.0054845691747572815</v>
      </c>
      <c r="L19" s="492"/>
    </row>
    <row r="20" spans="1:12" ht="12.75">
      <c r="A20" s="675">
        <v>1999</v>
      </c>
      <c r="B20" s="676">
        <v>85.42247</v>
      </c>
      <c r="C20" s="964">
        <v>2.742236447325651</v>
      </c>
      <c r="D20" s="677">
        <v>6.23</v>
      </c>
      <c r="E20" s="677">
        <v>2.305</v>
      </c>
      <c r="F20" s="677">
        <v>0.64983</v>
      </c>
      <c r="G20" s="677">
        <v>0.09534</v>
      </c>
      <c r="H20" s="678">
        <v>9.28017</v>
      </c>
      <c r="I20" s="284">
        <v>0.003935107951115236</v>
      </c>
      <c r="J20" s="283">
        <v>0.002915541941564562</v>
      </c>
      <c r="L20" s="492"/>
    </row>
    <row r="21" spans="1:12" ht="12.75">
      <c r="A21" s="675">
        <v>2000</v>
      </c>
      <c r="B21" s="676">
        <v>91.82689</v>
      </c>
      <c r="C21" s="964">
        <v>3.2275166773944313</v>
      </c>
      <c r="D21" s="677">
        <v>5.382</v>
      </c>
      <c r="E21" s="677">
        <v>1.699</v>
      </c>
      <c r="F21" s="677">
        <v>6.4983</v>
      </c>
      <c r="G21" s="677">
        <v>0.09766000000000001</v>
      </c>
      <c r="H21" s="678">
        <v>13.67696</v>
      </c>
      <c r="I21" s="284">
        <v>0.00653913907308769</v>
      </c>
      <c r="J21" s="283">
        <v>0.005026446159500183</v>
      </c>
      <c r="L21" s="492"/>
    </row>
    <row r="22" spans="1:12" ht="12.75">
      <c r="A22" s="675">
        <v>2001</v>
      </c>
      <c r="B22" s="676">
        <v>99.39862</v>
      </c>
      <c r="C22" s="964">
        <v>3.852317341348827</v>
      </c>
      <c r="D22" s="677">
        <v>4.243</v>
      </c>
      <c r="E22" s="677">
        <v>0.992</v>
      </c>
      <c r="F22" s="677">
        <v>8.4879</v>
      </c>
      <c r="G22" s="677">
        <v>0.51649</v>
      </c>
      <c r="H22" s="678">
        <v>14.239389999999998</v>
      </c>
      <c r="I22" s="284">
        <v>0.00765096212552403</v>
      </c>
      <c r="J22" s="283">
        <v>0.005659534976152622</v>
      </c>
      <c r="L22" s="492"/>
    </row>
    <row r="23" spans="1:12" ht="12.75">
      <c r="A23" s="675">
        <v>2002</v>
      </c>
      <c r="B23" s="676">
        <f aca="true" t="shared" si="0" ref="B23:B28">H23+F63+F99+F131</f>
        <v>100.8669</v>
      </c>
      <c r="C23" s="964">
        <v>3.661712214509992</v>
      </c>
      <c r="D23" s="677">
        <v>2.355</v>
      </c>
      <c r="E23" s="677">
        <v>0.943</v>
      </c>
      <c r="F23" s="677">
        <v>8.762</v>
      </c>
      <c r="G23" s="677">
        <v>0.4592</v>
      </c>
      <c r="H23" s="678">
        <v>12.5192</v>
      </c>
      <c r="I23" s="284">
        <v>0.00629672486010268</v>
      </c>
      <c r="J23" s="283">
        <v>0.0048505230530802015</v>
      </c>
      <c r="L23" s="492"/>
    </row>
    <row r="24" spans="1:12" ht="12.75">
      <c r="A24" s="675">
        <v>2003</v>
      </c>
      <c r="B24" s="676">
        <f t="shared" si="0"/>
        <v>110.03933</v>
      </c>
      <c r="C24" s="964">
        <v>4.3332001547423395</v>
      </c>
      <c r="D24" s="677">
        <v>1.078</v>
      </c>
      <c r="E24" s="677">
        <v>0.908</v>
      </c>
      <c r="F24" s="677">
        <v>9.0814</v>
      </c>
      <c r="G24" s="677">
        <v>0.569</v>
      </c>
      <c r="H24" s="678">
        <v>11.636400000000002</v>
      </c>
      <c r="I24" s="284">
        <v>0.006766232774711907</v>
      </c>
      <c r="J24" s="283">
        <v>0.004482434514637905</v>
      </c>
      <c r="L24" s="492"/>
    </row>
    <row r="25" spans="1:12" ht="12.75">
      <c r="A25" s="675">
        <v>2004</v>
      </c>
      <c r="B25" s="676">
        <f t="shared" si="0"/>
        <v>119.50406</v>
      </c>
      <c r="C25" s="964">
        <v>4.740343514478381</v>
      </c>
      <c r="D25" s="677">
        <v>0.623</v>
      </c>
      <c r="E25" s="677">
        <v>0.822</v>
      </c>
      <c r="F25" s="677">
        <v>8.332</v>
      </c>
      <c r="G25" s="677">
        <f>0.4555+0.126</f>
        <v>0.5815</v>
      </c>
      <c r="H25" s="678">
        <f>SUM(D25:G25)</f>
        <v>10.358500000000001</v>
      </c>
      <c r="I25" s="284">
        <f>H25/1689</f>
        <v>0.006132918886915335</v>
      </c>
      <c r="J25" s="283">
        <v>0.004443800943800944</v>
      </c>
      <c r="L25" s="492"/>
    </row>
    <row r="26" spans="1:12" ht="12.75">
      <c r="A26" s="675">
        <v>2005</v>
      </c>
      <c r="B26" s="676">
        <f t="shared" si="0"/>
        <v>125.97135</v>
      </c>
      <c r="C26" s="964">
        <v>5.012787504974135</v>
      </c>
      <c r="D26" s="677">
        <v>6.389</v>
      </c>
      <c r="E26" s="677">
        <v>0.755</v>
      </c>
      <c r="F26" s="677">
        <v>5.827</v>
      </c>
      <c r="G26" s="677">
        <v>0.7858</v>
      </c>
      <c r="H26" s="678">
        <f>SUM(D26:G26)</f>
        <v>13.7568</v>
      </c>
      <c r="I26" s="284">
        <f>H26/1679</f>
        <v>0.008193448481238833</v>
      </c>
      <c r="J26" s="283">
        <v>0.0058915631691648825</v>
      </c>
      <c r="L26" s="492"/>
    </row>
    <row r="27" spans="1:12" ht="12.75">
      <c r="A27" s="675">
        <v>2006</v>
      </c>
      <c r="B27" s="676">
        <f t="shared" si="0"/>
        <v>141.07293</v>
      </c>
      <c r="C27" s="964">
        <v>5.547718353061466</v>
      </c>
      <c r="D27" s="679">
        <v>10.08</v>
      </c>
      <c r="E27" s="677">
        <v>0.318</v>
      </c>
      <c r="F27" s="677">
        <v>6.522</v>
      </c>
      <c r="G27" s="677">
        <v>0.4696</v>
      </c>
      <c r="H27" s="678">
        <f>SUM(D27:G27)</f>
        <v>17.3896</v>
      </c>
      <c r="I27" s="284">
        <f>H27/1701</f>
        <v>0.010223162845385068</v>
      </c>
      <c r="J27" s="283">
        <v>0.007521453287197232</v>
      </c>
      <c r="L27" s="492"/>
    </row>
    <row r="28" spans="1:12" ht="12.75">
      <c r="A28" s="675">
        <v>2007</v>
      </c>
      <c r="B28" s="676">
        <f t="shared" si="0"/>
        <v>132.093846</v>
      </c>
      <c r="C28" s="964">
        <v>5.271103192338388</v>
      </c>
      <c r="D28" s="677">
        <v>6.335</v>
      </c>
      <c r="E28" s="677">
        <v>0.358</v>
      </c>
      <c r="F28" s="677">
        <v>5.81</v>
      </c>
      <c r="G28" s="677">
        <v>0.5497</v>
      </c>
      <c r="H28" s="678">
        <f>SUM(D28:G28)</f>
        <v>13.0527</v>
      </c>
      <c r="I28" s="284">
        <f>H28/1681</f>
        <v>0.007764842355740631</v>
      </c>
      <c r="J28" s="283">
        <v>0.0055</v>
      </c>
      <c r="L28" s="492"/>
    </row>
    <row r="29" spans="1:12" ht="12.75">
      <c r="A29" s="675">
        <v>2008</v>
      </c>
      <c r="B29" s="676"/>
      <c r="C29" s="964"/>
      <c r="D29" s="679"/>
      <c r="E29" s="677"/>
      <c r="F29" s="677"/>
      <c r="G29" s="677"/>
      <c r="H29" s="678"/>
      <c r="I29" s="284"/>
      <c r="J29" s="283"/>
      <c r="L29" s="492"/>
    </row>
    <row r="30" spans="1:12" ht="12.75">
      <c r="A30" s="675">
        <v>2009</v>
      </c>
      <c r="B30" s="676">
        <f>H30+F70+F106+F138</f>
        <v>126.97010320000001</v>
      </c>
      <c r="C30" s="964">
        <v>5.167688367928369</v>
      </c>
      <c r="D30" s="677">
        <v>6.386</v>
      </c>
      <c r="E30" s="677">
        <v>0.339</v>
      </c>
      <c r="F30" s="677">
        <v>5.789</v>
      </c>
      <c r="G30" s="677">
        <v>0.3420332</v>
      </c>
      <c r="H30" s="678">
        <f>SUM(D30:G30)</f>
        <v>12.856033199999999</v>
      </c>
      <c r="I30" s="284">
        <f>H30/1632</f>
        <v>0.00787747132352941</v>
      </c>
      <c r="J30" s="283">
        <f>H30/2436</f>
        <v>0.005277517733990147</v>
      </c>
      <c r="L30" s="492"/>
    </row>
    <row r="31" spans="1:12" ht="12.75">
      <c r="A31" s="675">
        <v>2010</v>
      </c>
      <c r="B31" s="676">
        <f>H31+F71+F107+F139</f>
        <v>115.9345</v>
      </c>
      <c r="C31" s="964">
        <v>4.950234842015372</v>
      </c>
      <c r="D31" s="677">
        <v>5.259</v>
      </c>
      <c r="E31" s="677">
        <v>0.281</v>
      </c>
      <c r="F31" s="677">
        <v>5.139</v>
      </c>
      <c r="G31" s="677">
        <f>0.124+0.179</f>
        <v>0.303</v>
      </c>
      <c r="H31" s="678">
        <f>SUM(D31:G31)</f>
        <v>10.982000000000001</v>
      </c>
      <c r="I31" s="284">
        <f>H31/1588</f>
        <v>0.006915617128463477</v>
      </c>
      <c r="J31" s="283">
        <f>H31/2220</f>
        <v>0.004946846846846847</v>
      </c>
      <c r="L31" s="492"/>
    </row>
    <row r="32" spans="1:12" ht="12.75">
      <c r="A32" s="675">
        <v>2011</v>
      </c>
      <c r="B32" s="676">
        <f>H32+F72+F108+F140</f>
        <v>99.30073299999998</v>
      </c>
      <c r="C32" s="964">
        <v>4.671656614602935</v>
      </c>
      <c r="D32" s="677">
        <v>4.781</v>
      </c>
      <c r="E32" s="677">
        <v>0.275</v>
      </c>
      <c r="F32" s="677">
        <v>4.489</v>
      </c>
      <c r="G32" s="677">
        <f>0.018+0.21555+0.14</f>
        <v>0.37355</v>
      </c>
      <c r="H32" s="678">
        <f>SUM(D32:G32)</f>
        <v>9.91855</v>
      </c>
      <c r="I32" s="284">
        <f>H32/(2089*0.7)</f>
        <v>0.0067828420980646925</v>
      </c>
      <c r="J32" s="283">
        <f>H32/2089</f>
        <v>0.004747989468645285</v>
      </c>
      <c r="L32" s="492"/>
    </row>
    <row r="33" spans="1:10" ht="12.75">
      <c r="A33" s="680">
        <v>2012</v>
      </c>
      <c r="B33" s="676">
        <f>H33+F73+F109+F141</f>
        <v>91.31815999999998</v>
      </c>
      <c r="C33" s="964">
        <v>4.376409469951115</v>
      </c>
      <c r="D33" s="677">
        <v>4.494</v>
      </c>
      <c r="E33" s="677">
        <v>0.233</v>
      </c>
      <c r="F33" s="677">
        <v>3.92</v>
      </c>
      <c r="G33" s="677">
        <f>0.01334+1.2*0.001+0.093</f>
        <v>0.10754</v>
      </c>
      <c r="H33" s="678">
        <f>SUM(D33:G33)</f>
        <v>8.754539999999999</v>
      </c>
      <c r="I33" s="284">
        <f>H33/(2017*0.7)</f>
        <v>0.006200538281747998</v>
      </c>
      <c r="J33" s="283">
        <f>H33/2017</f>
        <v>0.004340376797223599</v>
      </c>
    </row>
    <row r="34" spans="1:10" ht="12.75">
      <c r="A34" s="237" t="s">
        <v>729</v>
      </c>
      <c r="B34" s="984">
        <f aca="true" t="shared" si="1" ref="B34:H34">(B33-B32)/B32</f>
        <v>-0.08038785574724815</v>
      </c>
      <c r="C34" s="985">
        <f t="shared" si="1"/>
        <v>-0.06319966748603043</v>
      </c>
      <c r="D34" s="984">
        <f t="shared" si="1"/>
        <v>-0.06002928257686675</v>
      </c>
      <c r="E34" s="985">
        <f t="shared" si="1"/>
        <v>-0.15272727272727274</v>
      </c>
      <c r="F34" s="985">
        <f t="shared" si="1"/>
        <v>-0.12675428826019158</v>
      </c>
      <c r="G34" s="985">
        <f t="shared" si="1"/>
        <v>-0.7121135055548119</v>
      </c>
      <c r="H34" s="985">
        <f t="shared" si="1"/>
        <v>-0.11735687172016082</v>
      </c>
      <c r="I34" s="985"/>
      <c r="J34" s="986">
        <f>(J33-J32)/J32</f>
        <v>-0.08584953149400898</v>
      </c>
    </row>
    <row r="35" spans="1:10" ht="12.75">
      <c r="A35" s="987" t="s">
        <v>600</v>
      </c>
      <c r="B35" s="984">
        <f>(B33-B11)/B11</f>
        <v>-0.24214131096094732</v>
      </c>
      <c r="C35" s="985">
        <f>(C33-C11)/C11</f>
        <v>0.5947909212211135</v>
      </c>
      <c r="D35" s="985">
        <f>(D33-D11)/D11</f>
        <v>-0.630549161460046</v>
      </c>
      <c r="E35" s="985">
        <f>(E33-E11)/E11</f>
        <v>-0.9241536458333333</v>
      </c>
      <c r="F35" s="985"/>
      <c r="G35" s="985"/>
      <c r="H35" s="985">
        <f>(H34-H33)/H33</f>
        <v>-1.0134052584967526</v>
      </c>
      <c r="I35" s="985"/>
      <c r="J35" s="986">
        <f>(J33-J11)/J11</f>
        <v>0.2717900955435496</v>
      </c>
    </row>
    <row r="36" spans="1:10" ht="12.75">
      <c r="A36" s="982"/>
      <c r="B36" s="983"/>
      <c r="C36" s="983"/>
      <c r="D36" s="983"/>
      <c r="E36" s="983"/>
      <c r="F36" s="983"/>
      <c r="G36" s="983"/>
      <c r="H36" s="983"/>
      <c r="I36" s="983"/>
      <c r="J36" s="983"/>
    </row>
    <row r="37" spans="1:10" ht="12.75">
      <c r="A37" s="997" t="s">
        <v>848</v>
      </c>
      <c r="B37" t="s">
        <v>817</v>
      </c>
      <c r="G37" s="282"/>
      <c r="H37" s="965"/>
      <c r="I37" s="282"/>
      <c r="J37" s="282"/>
    </row>
    <row r="38" spans="1:10" ht="12.75">
      <c r="A38" s="216" t="s">
        <v>249</v>
      </c>
      <c r="B38" s="219" t="s">
        <v>512</v>
      </c>
      <c r="C38" s="216"/>
      <c r="D38" s="216"/>
      <c r="E38" s="216"/>
      <c r="F38" s="216"/>
      <c r="G38" s="216"/>
      <c r="H38" s="216"/>
      <c r="I38" s="4"/>
      <c r="J38" s="216"/>
    </row>
    <row r="39" spans="2:10" ht="12.75">
      <c r="B39" s="281" t="s">
        <v>601</v>
      </c>
      <c r="C39" s="281"/>
      <c r="D39" s="281"/>
      <c r="E39" s="281"/>
      <c r="F39" s="281"/>
      <c r="G39" s="281"/>
      <c r="H39" s="281"/>
      <c r="I39" s="4"/>
      <c r="J39" s="281"/>
    </row>
    <row r="40" ht="12.75">
      <c r="B40" t="s">
        <v>818</v>
      </c>
    </row>
    <row r="42" spans="1:10" ht="12.75">
      <c r="A42" s="641" t="s">
        <v>248</v>
      </c>
      <c r="B42" t="s">
        <v>815</v>
      </c>
      <c r="I42" s="4"/>
      <c r="J42" s="4"/>
    </row>
    <row r="43" spans="1:8" ht="12.75">
      <c r="A43" s="54"/>
      <c r="B43" s="4" t="s">
        <v>530</v>
      </c>
      <c r="C43" s="4"/>
      <c r="D43" s="4"/>
      <c r="E43" s="4"/>
      <c r="F43" s="4"/>
      <c r="G43" s="4"/>
      <c r="H43" s="4"/>
    </row>
    <row r="44" spans="1:2" ht="12.75">
      <c r="A44" s="54"/>
      <c r="B44" t="s">
        <v>816</v>
      </c>
    </row>
    <row r="45" ht="12.75">
      <c r="A45" s="54"/>
    </row>
    <row r="46" ht="12.75">
      <c r="A46" s="54"/>
    </row>
    <row r="47" ht="12.75">
      <c r="A47" s="54"/>
    </row>
    <row r="48" spans="1:8" ht="18">
      <c r="A48" s="981" t="s">
        <v>247</v>
      </c>
      <c r="B48" s="280" t="s">
        <v>246</v>
      </c>
      <c r="C48" s="216"/>
      <c r="D48" s="216"/>
      <c r="E48" s="216"/>
      <c r="F48" s="216"/>
      <c r="G48" s="216"/>
      <c r="H48" s="216"/>
    </row>
    <row r="49" spans="1:7" ht="12.75">
      <c r="A49" s="239" t="s">
        <v>239</v>
      </c>
      <c r="B49" s="241" t="s">
        <v>0</v>
      </c>
      <c r="C49" s="240" t="s">
        <v>1</v>
      </c>
      <c r="D49" s="240" t="s">
        <v>238</v>
      </c>
      <c r="E49" s="239" t="s">
        <v>237</v>
      </c>
      <c r="F49" s="238" t="s">
        <v>236</v>
      </c>
      <c r="G49" s="237" t="s">
        <v>235</v>
      </c>
    </row>
    <row r="50" spans="1:7" ht="12.75">
      <c r="A50" s="236" t="s">
        <v>234</v>
      </c>
      <c r="B50" s="235" t="s">
        <v>8</v>
      </c>
      <c r="C50" s="234" t="s">
        <v>8</v>
      </c>
      <c r="D50" s="234" t="s">
        <v>8</v>
      </c>
      <c r="E50" s="234" t="s">
        <v>8</v>
      </c>
      <c r="F50" s="233" t="s">
        <v>8</v>
      </c>
      <c r="G50" s="232" t="s">
        <v>233</v>
      </c>
    </row>
    <row r="51" spans="1:7" ht="12.75">
      <c r="A51" s="228">
        <v>1990</v>
      </c>
      <c r="B51" s="279">
        <v>27.233</v>
      </c>
      <c r="C51" s="278">
        <v>71.296</v>
      </c>
      <c r="D51" s="278"/>
      <c r="E51" s="217"/>
      <c r="F51" s="805">
        <v>98.529</v>
      </c>
      <c r="G51" s="222">
        <v>0.16682525922263686</v>
      </c>
    </row>
    <row r="52" spans="1:7" ht="12.75">
      <c r="A52" s="228">
        <v>1991</v>
      </c>
      <c r="B52" s="279">
        <v>30.108</v>
      </c>
      <c r="C52" s="278">
        <v>82.456</v>
      </c>
      <c r="D52" s="278"/>
      <c r="E52" s="217"/>
      <c r="F52" s="805">
        <v>112.564</v>
      </c>
      <c r="G52" s="222">
        <v>0.17410456729839713</v>
      </c>
    </row>
    <row r="53" spans="1:7" ht="12.75">
      <c r="A53" s="228">
        <v>1992</v>
      </c>
      <c r="B53" s="279">
        <v>34.857</v>
      </c>
      <c r="C53" s="278">
        <v>62.532</v>
      </c>
      <c r="D53" s="278"/>
      <c r="E53" s="217"/>
      <c r="F53" s="805">
        <v>97.389</v>
      </c>
      <c r="G53" s="222">
        <v>0.15221504396424188</v>
      </c>
    </row>
    <row r="54" spans="1:7" ht="12.75">
      <c r="A54" s="228">
        <v>1993</v>
      </c>
      <c r="B54" s="279">
        <v>35.004</v>
      </c>
      <c r="C54" s="278">
        <v>94.659</v>
      </c>
      <c r="D54" s="278"/>
      <c r="E54" s="217"/>
      <c r="F54" s="805">
        <v>130.035</v>
      </c>
      <c r="G54" s="222">
        <v>0.18740650212000587</v>
      </c>
    </row>
    <row r="55" spans="1:7" ht="12.75">
      <c r="A55" s="228">
        <v>1994</v>
      </c>
      <c r="B55" s="279">
        <v>30.23</v>
      </c>
      <c r="C55" s="278">
        <v>68.648</v>
      </c>
      <c r="D55" s="278"/>
      <c r="E55" s="217"/>
      <c r="F55" s="805">
        <v>98.878</v>
      </c>
      <c r="G55" s="222">
        <v>0.12389296148320718</v>
      </c>
    </row>
    <row r="56" spans="1:7" ht="12.75">
      <c r="A56" s="228">
        <v>1995</v>
      </c>
      <c r="B56" s="279">
        <v>29.169</v>
      </c>
      <c r="C56" s="278">
        <v>61.557</v>
      </c>
      <c r="D56" s="278"/>
      <c r="E56" s="217"/>
      <c r="F56" s="805">
        <v>90.726</v>
      </c>
      <c r="G56" s="222">
        <v>0.1159574032985348</v>
      </c>
    </row>
    <row r="57" spans="1:7" ht="12.75">
      <c r="A57" s="228">
        <v>1996</v>
      </c>
      <c r="B57" s="279">
        <v>24.163</v>
      </c>
      <c r="C57" s="278">
        <v>55.468</v>
      </c>
      <c r="D57" s="278"/>
      <c r="E57" s="217"/>
      <c r="F57" s="805">
        <v>79.631</v>
      </c>
      <c r="G57" s="222">
        <v>0.11663258151691927</v>
      </c>
    </row>
    <row r="58" spans="1:7" ht="12.75">
      <c r="A58" s="228">
        <v>1997</v>
      </c>
      <c r="B58" s="279">
        <v>18.445</v>
      </c>
      <c r="C58" s="278">
        <v>39.813</v>
      </c>
      <c r="D58" s="278"/>
      <c r="E58" s="217"/>
      <c r="F58" s="805">
        <v>58.7426</v>
      </c>
      <c r="G58" s="222">
        <v>0.0840190629299815</v>
      </c>
    </row>
    <row r="59" spans="1:7" ht="12.75">
      <c r="A59" s="228">
        <v>1998</v>
      </c>
      <c r="B59" s="279">
        <v>16.46</v>
      </c>
      <c r="C59" s="278">
        <v>52.113</v>
      </c>
      <c r="D59" s="277">
        <v>0.5337</v>
      </c>
      <c r="E59" s="256">
        <v>0.139</v>
      </c>
      <c r="F59" s="805">
        <v>69.1067</v>
      </c>
      <c r="G59" s="222">
        <v>0.09538864758775009</v>
      </c>
    </row>
    <row r="60" spans="1:7" ht="12.75">
      <c r="A60" s="228">
        <v>1999</v>
      </c>
      <c r="B60" s="279">
        <v>19.174</v>
      </c>
      <c r="C60" s="278">
        <v>54.281</v>
      </c>
      <c r="D60" s="277">
        <v>0.3154</v>
      </c>
      <c r="E60" s="256">
        <v>0.0848</v>
      </c>
      <c r="F60" s="805">
        <v>73.7704</v>
      </c>
      <c r="G60" s="222">
        <v>0.10147765632866641</v>
      </c>
    </row>
    <row r="61" spans="1:7" ht="12.75">
      <c r="A61" s="228">
        <v>2000</v>
      </c>
      <c r="B61" s="279">
        <v>64.436</v>
      </c>
      <c r="C61" s="278">
        <v>11.922</v>
      </c>
      <c r="D61" s="277">
        <v>0.3665</v>
      </c>
      <c r="E61" s="256"/>
      <c r="F61" s="805">
        <v>76.7245</v>
      </c>
      <c r="G61" s="222">
        <v>0.10645475938084482</v>
      </c>
    </row>
    <row r="62" spans="1:7" ht="12.75">
      <c r="A62" s="228">
        <v>2001</v>
      </c>
      <c r="B62" s="279">
        <v>67.123</v>
      </c>
      <c r="C62" s="278">
        <v>16.144</v>
      </c>
      <c r="D62" s="277">
        <v>0.3209</v>
      </c>
      <c r="E62" s="256"/>
      <c r="F62" s="805">
        <v>83.58789999999999</v>
      </c>
      <c r="G62" s="222">
        <v>0.1198128298554871</v>
      </c>
    </row>
    <row r="63" spans="1:7" ht="12.75">
      <c r="A63" s="228">
        <v>2002</v>
      </c>
      <c r="B63" s="279">
        <v>69.765</v>
      </c>
      <c r="C63" s="278">
        <v>16.792</v>
      </c>
      <c r="D63" s="277">
        <v>0.3303</v>
      </c>
      <c r="E63" s="256"/>
      <c r="F63" s="805">
        <v>86.8873</v>
      </c>
      <c r="G63" s="222">
        <v>0.11707070271552107</v>
      </c>
    </row>
    <row r="64" spans="1:7" ht="12.75">
      <c r="A64" s="228">
        <v>2003</v>
      </c>
      <c r="B64" s="279">
        <v>78.619</v>
      </c>
      <c r="C64" s="278">
        <v>18.691</v>
      </c>
      <c r="D64" s="277">
        <v>0.095</v>
      </c>
      <c r="E64" s="256"/>
      <c r="F64" s="805">
        <v>97.405</v>
      </c>
      <c r="G64" s="222">
        <v>0.12196390880022098</v>
      </c>
    </row>
    <row r="65" spans="1:7" ht="12.75">
      <c r="A65" s="228">
        <v>2004</v>
      </c>
      <c r="B65" s="269">
        <v>88.559</v>
      </c>
      <c r="C65" s="276">
        <v>19.046</v>
      </c>
      <c r="D65" s="275">
        <v>0.2604</v>
      </c>
      <c r="E65" s="609"/>
      <c r="F65" s="806">
        <f>SUM(B65:E65)</f>
        <v>107.8654</v>
      </c>
      <c r="G65" s="274">
        <f>108/803</f>
        <v>0.13449564134495642</v>
      </c>
    </row>
    <row r="66" spans="1:7" ht="12.75">
      <c r="A66" s="228">
        <v>2005</v>
      </c>
      <c r="B66" s="272">
        <v>94.837</v>
      </c>
      <c r="C66" s="276">
        <v>15.786</v>
      </c>
      <c r="D66" s="275"/>
      <c r="E66" s="609"/>
      <c r="F66" s="806">
        <f>SUM(B66:E66)</f>
        <v>110.623</v>
      </c>
      <c r="G66" s="274">
        <f>111/812</f>
        <v>0.13669950738916256</v>
      </c>
    </row>
    <row r="67" spans="1:7" ht="12.75">
      <c r="A67" s="228">
        <v>2006</v>
      </c>
      <c r="B67" s="273">
        <v>105.54</v>
      </c>
      <c r="C67" s="101">
        <v>16.586</v>
      </c>
      <c r="D67" s="270">
        <v>0</v>
      </c>
      <c r="E67" s="100"/>
      <c r="F67" s="806">
        <f>SUM(B67:E67)</f>
        <v>122.126</v>
      </c>
      <c r="G67" s="271">
        <f>F67/817</f>
        <v>0.1494810281517748</v>
      </c>
    </row>
    <row r="68" spans="1:7" ht="12.75">
      <c r="A68" s="228">
        <v>2007</v>
      </c>
      <c r="B68" s="273">
        <v>99.649</v>
      </c>
      <c r="C68" s="101">
        <v>17.158</v>
      </c>
      <c r="D68" s="270">
        <v>0.051</v>
      </c>
      <c r="E68" s="100">
        <f>0.008</f>
        <v>0.008</v>
      </c>
      <c r="F68" s="806">
        <f>SUM(B68:E68)</f>
        <v>116.866</v>
      </c>
      <c r="G68" s="271">
        <f>F68/794</f>
        <v>0.14718639798488664</v>
      </c>
    </row>
    <row r="69" spans="1:7" ht="12.75">
      <c r="A69" s="228">
        <v>2008</v>
      </c>
      <c r="B69" s="273"/>
      <c r="C69" s="101"/>
      <c r="D69" s="270"/>
      <c r="E69" s="606"/>
      <c r="F69" s="806"/>
      <c r="G69" s="271"/>
    </row>
    <row r="70" spans="1:7" ht="12.75">
      <c r="A70" s="228">
        <v>2009</v>
      </c>
      <c r="B70" s="273">
        <v>92.382</v>
      </c>
      <c r="C70" s="101">
        <v>19.951</v>
      </c>
      <c r="D70" s="270">
        <v>0.049</v>
      </c>
      <c r="E70" s="606">
        <v>0.294982</v>
      </c>
      <c r="F70" s="806">
        <f>SUM(B70:E70)</f>
        <v>112.67698200000001</v>
      </c>
      <c r="G70" s="271">
        <f>F70/801</f>
        <v>0.14067038951310862</v>
      </c>
    </row>
    <row r="71" spans="1:7" ht="12.75">
      <c r="A71" s="228">
        <v>2010</v>
      </c>
      <c r="B71" s="273">
        <v>83.911</v>
      </c>
      <c r="C71" s="101">
        <v>18.967</v>
      </c>
      <c r="D71" s="270">
        <v>0.052</v>
      </c>
      <c r="E71" s="606">
        <f>0.022+0.199</f>
        <v>0.221</v>
      </c>
      <c r="F71" s="806">
        <f>SUM(B71:E71)</f>
        <v>103.15100000000001</v>
      </c>
      <c r="G71" s="271">
        <f>F71/735</f>
        <v>0.14034149659863948</v>
      </c>
    </row>
    <row r="72" spans="1:7" ht="12.75">
      <c r="A72" s="228">
        <v>2011</v>
      </c>
      <c r="B72" s="709">
        <v>68.569</v>
      </c>
      <c r="C72" s="801">
        <v>18.615</v>
      </c>
      <c r="D72" s="54">
        <v>0.027</v>
      </c>
      <c r="E72" s="100">
        <f>0.302623+1.148</f>
        <v>1.4506229999999998</v>
      </c>
      <c r="F72" s="806">
        <f>SUM(B72:E72)</f>
        <v>88.66162299999999</v>
      </c>
      <c r="G72" s="271">
        <f>F72/640</f>
        <v>0.1385337859375</v>
      </c>
    </row>
    <row r="73" spans="1:7" ht="12.75">
      <c r="A73" s="596">
        <v>2012</v>
      </c>
      <c r="B73" s="781">
        <v>64.893</v>
      </c>
      <c r="C73" s="961">
        <v>16.463</v>
      </c>
      <c r="D73" s="48">
        <v>0.027</v>
      </c>
      <c r="E73" s="962">
        <f>0.179+0.014</f>
        <v>0.193</v>
      </c>
      <c r="F73" s="988">
        <f>SUM(B73:E73)</f>
        <v>81.576</v>
      </c>
      <c r="G73" s="989">
        <f>F73/640</f>
        <v>0.12746249999999998</v>
      </c>
    </row>
    <row r="74" spans="1:10" ht="12.75">
      <c r="A74" s="994" t="s">
        <v>245</v>
      </c>
      <c r="B74" s="216" t="s">
        <v>847</v>
      </c>
      <c r="C74" s="216"/>
      <c r="D74" s="216"/>
      <c r="E74" s="216"/>
      <c r="F74" s="216"/>
      <c r="G74" s="26" t="s">
        <v>231</v>
      </c>
      <c r="H74" s="26"/>
      <c r="I74" s="4"/>
      <c r="J74" s="4"/>
    </row>
    <row r="75" spans="1:10" ht="12.75">
      <c r="A75" s="219"/>
      <c r="B75" s="216" t="s">
        <v>395</v>
      </c>
      <c r="C75" s="216"/>
      <c r="D75" s="216"/>
      <c r="E75" s="216"/>
      <c r="F75" s="216"/>
      <c r="G75" s="26"/>
      <c r="H75" s="26"/>
      <c r="I75" s="4"/>
      <c r="J75" s="4"/>
    </row>
    <row r="76" spans="1:10" ht="12.75">
      <c r="A76" s="219"/>
      <c r="B76" s="216"/>
      <c r="C76" s="216"/>
      <c r="D76" s="216"/>
      <c r="E76" s="216"/>
      <c r="F76" s="216"/>
      <c r="G76" s="26"/>
      <c r="H76" s="26"/>
      <c r="I76" s="4"/>
      <c r="J76" s="4"/>
    </row>
    <row r="77" spans="1:10" s="544" customFormat="1" ht="12.75">
      <c r="A77" s="994" t="s">
        <v>501</v>
      </c>
      <c r="B77" s="4" t="s">
        <v>624</v>
      </c>
      <c r="C77" s="216"/>
      <c r="D77" s="216"/>
      <c r="E77" s="216"/>
      <c r="F77" s="216"/>
      <c r="G77" s="216"/>
      <c r="H77" s="216"/>
      <c r="I77" s="216"/>
      <c r="J77" s="216"/>
    </row>
    <row r="78" spans="1:10" ht="12.75">
      <c r="A78" s="26"/>
      <c r="B78" s="26" t="s">
        <v>839</v>
      </c>
      <c r="C78" s="26"/>
      <c r="D78" s="26"/>
      <c r="E78" s="26"/>
      <c r="F78" s="26"/>
      <c r="G78" s="26"/>
      <c r="H78" s="219"/>
      <c r="I78" s="219"/>
      <c r="J78" s="219"/>
    </row>
    <row r="79" spans="1:10" ht="12.75">
      <c r="A79" s="26"/>
      <c r="B79" s="26" t="s">
        <v>840</v>
      </c>
      <c r="C79" s="26"/>
      <c r="D79" s="26"/>
      <c r="E79" s="26"/>
      <c r="F79" s="26"/>
      <c r="G79" s="26"/>
      <c r="H79" s="219"/>
      <c r="I79" s="219"/>
      <c r="J79" s="219"/>
    </row>
    <row r="80" spans="1:10" ht="12.75">
      <c r="A80" s="26"/>
      <c r="B80" s="26" t="s">
        <v>623</v>
      </c>
      <c r="C80" s="26"/>
      <c r="D80" s="26"/>
      <c r="E80" s="26"/>
      <c r="F80" s="26"/>
      <c r="G80" s="26"/>
      <c r="H80" s="219"/>
      <c r="I80" s="219"/>
      <c r="J80" s="219"/>
    </row>
    <row r="81" spans="1:10" ht="12.75">
      <c r="A81" s="26"/>
      <c r="B81" s="26"/>
      <c r="C81" s="26"/>
      <c r="D81" s="26"/>
      <c r="E81" s="26"/>
      <c r="F81" s="26"/>
      <c r="G81" s="26"/>
      <c r="H81" s="219"/>
      <c r="I81" s="219"/>
      <c r="J81" s="219"/>
    </row>
    <row r="82" spans="1:10" ht="12.75">
      <c r="A82" s="1"/>
      <c r="B82" s="1"/>
      <c r="C82" s="1"/>
      <c r="D82" s="1"/>
      <c r="E82" s="1"/>
      <c r="F82" s="1"/>
      <c r="G82" s="1"/>
      <c r="H82" s="268"/>
      <c r="I82" s="268"/>
      <c r="J82" s="268"/>
    </row>
    <row r="83" spans="1:10" ht="15.75">
      <c r="A83" s="980" t="s">
        <v>244</v>
      </c>
      <c r="B83" s="246" t="s">
        <v>243</v>
      </c>
      <c r="C83" s="267"/>
      <c r="D83" s="266"/>
      <c r="E83" s="54"/>
      <c r="F83" s="253"/>
      <c r="G83" s="54"/>
      <c r="H83" s="217"/>
      <c r="I83" s="217"/>
      <c r="J83" s="217"/>
    </row>
    <row r="84" spans="1:10" ht="15.75">
      <c r="A84" s="265"/>
      <c r="B84" s="264"/>
      <c r="C84" s="263"/>
      <c r="D84" s="262"/>
      <c r="E84" s="48"/>
      <c r="F84" s="261"/>
      <c r="G84" s="48"/>
      <c r="H84" s="217"/>
      <c r="I84" s="217"/>
      <c r="J84" s="217"/>
    </row>
    <row r="85" spans="1:10" ht="12.75">
      <c r="A85" s="239" t="s">
        <v>239</v>
      </c>
      <c r="B85" s="241" t="s">
        <v>0</v>
      </c>
      <c r="C85" s="240" t="s">
        <v>1</v>
      </c>
      <c r="D85" s="240" t="s">
        <v>238</v>
      </c>
      <c r="E85" s="240" t="s">
        <v>237</v>
      </c>
      <c r="F85" s="237" t="s">
        <v>236</v>
      </c>
      <c r="G85" s="237" t="s">
        <v>235</v>
      </c>
      <c r="H85" s="217"/>
      <c r="I85" s="217"/>
      <c r="J85" s="217"/>
    </row>
    <row r="86" spans="1:10" ht="12.75">
      <c r="A86" s="236" t="s">
        <v>234</v>
      </c>
      <c r="B86" s="235" t="s">
        <v>8</v>
      </c>
      <c r="C86" s="234" t="s">
        <v>8</v>
      </c>
      <c r="D86" s="234" t="s">
        <v>8</v>
      </c>
      <c r="E86" s="234" t="s">
        <v>8</v>
      </c>
      <c r="F86" s="233" t="s">
        <v>8</v>
      </c>
      <c r="G86" s="232" t="s">
        <v>233</v>
      </c>
      <c r="H86" s="217"/>
      <c r="I86" s="217"/>
      <c r="J86" s="217"/>
    </row>
    <row r="87" spans="1:10" ht="12.75">
      <c r="A87" s="221">
        <v>1990</v>
      </c>
      <c r="B87" s="260">
        <v>4.05</v>
      </c>
      <c r="C87" s="259">
        <v>2.585</v>
      </c>
      <c r="D87" s="259"/>
      <c r="E87" s="259"/>
      <c r="F87" s="257">
        <v>6.635</v>
      </c>
      <c r="G87" s="254">
        <v>0.24154501437984635</v>
      </c>
      <c r="H87" s="217"/>
      <c r="I87" s="217"/>
      <c r="J87" s="217"/>
    </row>
    <row r="88" spans="1:10" ht="12.75">
      <c r="A88" s="221">
        <v>1991</v>
      </c>
      <c r="B88" s="260">
        <v>3.565</v>
      </c>
      <c r="C88" s="259">
        <v>2.227</v>
      </c>
      <c r="D88" s="259"/>
      <c r="E88" s="259"/>
      <c r="F88" s="257">
        <v>5.792</v>
      </c>
      <c r="G88" s="254">
        <v>0.20282242532478903</v>
      </c>
      <c r="H88" s="217"/>
      <c r="I88" s="217"/>
      <c r="J88" s="217"/>
    </row>
    <row r="89" spans="1:10" ht="12.75">
      <c r="A89" s="221">
        <v>1992</v>
      </c>
      <c r="B89" s="260">
        <v>3.308</v>
      </c>
      <c r="C89" s="259">
        <v>1.57</v>
      </c>
      <c r="D89" s="259"/>
      <c r="E89" s="259"/>
      <c r="F89" s="257">
        <v>4.878</v>
      </c>
      <c r="G89" s="254">
        <v>0.22212103273985703</v>
      </c>
      <c r="H89" s="217"/>
      <c r="I89" s="217"/>
      <c r="J89" s="217"/>
    </row>
    <row r="90" spans="1:10" ht="12.75">
      <c r="A90" s="221">
        <v>1993</v>
      </c>
      <c r="B90" s="260">
        <v>3.111</v>
      </c>
      <c r="C90" s="259">
        <v>1.889</v>
      </c>
      <c r="D90" s="259"/>
      <c r="E90" s="259"/>
      <c r="F90" s="257">
        <v>5</v>
      </c>
      <c r="G90" s="254">
        <v>0.17612455528549792</v>
      </c>
      <c r="H90" s="217"/>
      <c r="I90" s="217"/>
      <c r="J90" s="217"/>
    </row>
    <row r="91" spans="1:10" ht="12.75">
      <c r="A91" s="221">
        <v>1994</v>
      </c>
      <c r="B91" s="260">
        <v>2.307</v>
      </c>
      <c r="C91" s="259">
        <v>1.104</v>
      </c>
      <c r="D91" s="259"/>
      <c r="E91" s="259"/>
      <c r="F91" s="257">
        <v>3.411</v>
      </c>
      <c r="G91" s="254">
        <v>0.14235632903468137</v>
      </c>
      <c r="H91" s="217"/>
      <c r="I91" s="217"/>
      <c r="J91" s="217"/>
    </row>
    <row r="92" spans="1:10" ht="12.75">
      <c r="A92" s="221">
        <v>1995</v>
      </c>
      <c r="B92" s="260">
        <v>2.162</v>
      </c>
      <c r="C92" s="259">
        <v>1.006</v>
      </c>
      <c r="D92" s="259"/>
      <c r="E92" s="259"/>
      <c r="F92" s="257">
        <v>3.168</v>
      </c>
      <c r="G92" s="254">
        <v>0.14064372918978915</v>
      </c>
      <c r="H92" s="217"/>
      <c r="I92" s="217"/>
      <c r="J92" s="217"/>
    </row>
    <row r="93" spans="1:10" ht="12.75">
      <c r="A93" s="221">
        <v>1996</v>
      </c>
      <c r="B93" s="260">
        <v>1.835</v>
      </c>
      <c r="C93" s="259">
        <v>0.8124</v>
      </c>
      <c r="D93" s="259"/>
      <c r="E93" s="259"/>
      <c r="F93" s="257">
        <v>2.6474</v>
      </c>
      <c r="G93" s="254">
        <v>0.14185286395541982</v>
      </c>
      <c r="H93" s="217"/>
      <c r="I93" s="217"/>
      <c r="J93" s="217"/>
    </row>
    <row r="94" spans="1:10" ht="12.75">
      <c r="A94" s="221">
        <v>1997</v>
      </c>
      <c r="B94" s="260">
        <v>1.707</v>
      </c>
      <c r="C94" s="259">
        <v>0.297</v>
      </c>
      <c r="D94" s="259"/>
      <c r="E94" s="256">
        <v>0.143</v>
      </c>
      <c r="F94" s="257">
        <v>2.147</v>
      </c>
      <c r="G94" s="254">
        <v>0.13483640017584625</v>
      </c>
      <c r="H94" s="217"/>
      <c r="I94" s="217"/>
      <c r="J94" s="217"/>
    </row>
    <row r="95" spans="1:10" ht="12.75">
      <c r="A95" s="221">
        <v>1998</v>
      </c>
      <c r="B95" s="229">
        <v>1.798</v>
      </c>
      <c r="C95" s="217">
        <v>0</v>
      </c>
      <c r="D95" s="217"/>
      <c r="E95" s="256">
        <v>0.232</v>
      </c>
      <c r="F95" s="257">
        <v>2.03</v>
      </c>
      <c r="G95" s="254">
        <v>0.1380107417227548</v>
      </c>
      <c r="H95" s="217"/>
      <c r="I95" s="217"/>
      <c r="J95" s="217"/>
    </row>
    <row r="96" spans="1:10" ht="12.75">
      <c r="A96" s="221">
        <v>1999</v>
      </c>
      <c r="B96" s="229">
        <v>1.419</v>
      </c>
      <c r="C96" s="217"/>
      <c r="D96" s="217"/>
      <c r="E96" s="256">
        <v>0.264</v>
      </c>
      <c r="F96" s="257">
        <v>1.683</v>
      </c>
      <c r="G96" s="254">
        <v>0.13941351888667994</v>
      </c>
      <c r="H96" s="217"/>
      <c r="I96" s="217"/>
      <c r="J96" s="217"/>
    </row>
    <row r="97" spans="1:10" ht="12.75">
      <c r="A97" s="221">
        <v>2000</v>
      </c>
      <c r="B97" s="229">
        <v>0.892</v>
      </c>
      <c r="C97" s="256">
        <v>0.099</v>
      </c>
      <c r="D97" s="217"/>
      <c r="E97" s="258"/>
      <c r="F97" s="257">
        <v>0.991</v>
      </c>
      <c r="G97" s="254">
        <v>0.10891306737004067</v>
      </c>
      <c r="H97" s="217"/>
      <c r="I97" s="217"/>
      <c r="J97" s="217"/>
    </row>
    <row r="98" spans="1:10" ht="12.75">
      <c r="A98" s="221">
        <v>2001</v>
      </c>
      <c r="B98" s="229">
        <v>0.81</v>
      </c>
      <c r="C98" s="256">
        <v>0.082</v>
      </c>
      <c r="D98" s="217"/>
      <c r="E98" s="256">
        <v>0.239</v>
      </c>
      <c r="F98" s="257">
        <v>1.131</v>
      </c>
      <c r="G98" s="254">
        <v>0.1467116357504216</v>
      </c>
      <c r="H98" s="217"/>
      <c r="I98" s="217"/>
      <c r="J98" s="217"/>
    </row>
    <row r="99" spans="1:10" ht="12.75">
      <c r="A99" s="221">
        <v>2002</v>
      </c>
      <c r="B99" s="229">
        <v>0.776</v>
      </c>
      <c r="C99" s="256">
        <v>0.072</v>
      </c>
      <c r="D99" s="217"/>
      <c r="E99" s="256">
        <v>0.2665</v>
      </c>
      <c r="F99" s="255">
        <v>1</v>
      </c>
      <c r="G99" s="254">
        <v>0.09726722679436813</v>
      </c>
      <c r="H99" s="217"/>
      <c r="I99" s="217"/>
      <c r="J99" s="217"/>
    </row>
    <row r="100" spans="1:10" ht="12.75">
      <c r="A100" s="221">
        <v>2003</v>
      </c>
      <c r="B100" s="229">
        <v>0.704</v>
      </c>
      <c r="C100" s="256">
        <v>0.072</v>
      </c>
      <c r="D100" s="217"/>
      <c r="E100" s="256">
        <v>0.2336</v>
      </c>
      <c r="F100" s="255">
        <v>0.7759999999999999</v>
      </c>
      <c r="G100" s="254">
        <v>0.09658949464774706</v>
      </c>
      <c r="H100" s="217"/>
      <c r="I100" s="217"/>
      <c r="J100" s="217"/>
    </row>
    <row r="101" spans="1:10" ht="12.75">
      <c r="A101" s="221">
        <v>2004</v>
      </c>
      <c r="B101" s="227">
        <v>0.603</v>
      </c>
      <c r="C101" s="225">
        <v>0.052</v>
      </c>
      <c r="D101" s="253"/>
      <c r="E101" s="251"/>
      <c r="F101" s="607">
        <f>SUM(B101:E101)</f>
        <v>0.655</v>
      </c>
      <c r="G101" s="250">
        <f>F101/6.9</f>
        <v>0.09492753623188406</v>
      </c>
      <c r="H101" s="217"/>
      <c r="I101" s="217"/>
      <c r="J101" s="217"/>
    </row>
    <row r="102" spans="1:10" ht="12.75">
      <c r="A102" s="221">
        <v>2005</v>
      </c>
      <c r="B102" s="252">
        <v>0.516</v>
      </c>
      <c r="C102" s="100">
        <v>0.05</v>
      </c>
      <c r="D102" s="54"/>
      <c r="E102" s="606">
        <v>0.2512</v>
      </c>
      <c r="F102" s="607">
        <f>SUM(B102:E102)</f>
        <v>0.8172</v>
      </c>
      <c r="G102" s="250">
        <f>F102/6.3</f>
        <v>0.12971428571428573</v>
      </c>
      <c r="H102" s="217"/>
      <c r="I102" s="217"/>
      <c r="J102" s="217"/>
    </row>
    <row r="103" spans="1:10" ht="12.75">
      <c r="A103" s="221">
        <v>2006</v>
      </c>
      <c r="B103" s="252">
        <v>0.482</v>
      </c>
      <c r="C103" s="100">
        <v>0.049</v>
      </c>
      <c r="D103" s="54">
        <v>0</v>
      </c>
      <c r="E103" s="606">
        <v>0.2472</v>
      </c>
      <c r="F103" s="607">
        <f>SUM(B103:E103)</f>
        <v>0.7782</v>
      </c>
      <c r="G103" s="250">
        <f>F103/5.8</f>
        <v>0.13417241379310346</v>
      </c>
      <c r="H103" s="217"/>
      <c r="I103" s="217"/>
      <c r="J103" s="217"/>
    </row>
    <row r="104" spans="1:10" ht="12.75">
      <c r="A104" s="224">
        <v>2007</v>
      </c>
      <c r="B104" s="252">
        <v>0.362</v>
      </c>
      <c r="C104" s="100">
        <v>0.05</v>
      </c>
      <c r="D104" s="54"/>
      <c r="E104" s="606">
        <f>0.5035+0.2253</f>
        <v>0.7287999999999999</v>
      </c>
      <c r="F104" s="607">
        <f>SUM(B104:E104)</f>
        <v>1.1407999999999998</v>
      </c>
      <c r="G104" s="250">
        <f>F104/6.1</f>
        <v>0.18701639344262294</v>
      </c>
      <c r="H104" s="216"/>
      <c r="I104" s="216"/>
      <c r="J104" s="216"/>
    </row>
    <row r="105" spans="1:10" ht="12.75">
      <c r="A105" s="221">
        <v>2008</v>
      </c>
      <c r="B105" s="252"/>
      <c r="C105" s="100"/>
      <c r="D105" s="54"/>
      <c r="E105" s="606"/>
      <c r="F105" s="607"/>
      <c r="G105" s="250"/>
      <c r="H105" s="216"/>
      <c r="I105" s="216"/>
      <c r="J105" s="216"/>
    </row>
    <row r="106" spans="1:10" ht="12.75">
      <c r="A106" s="221">
        <v>2009</v>
      </c>
      <c r="B106" s="252">
        <v>0</v>
      </c>
      <c r="C106" s="549">
        <v>0.047</v>
      </c>
      <c r="D106" s="54">
        <v>0</v>
      </c>
      <c r="E106" s="606">
        <v>0.8761</v>
      </c>
      <c r="F106" s="607">
        <f>SUM(B106:E106)</f>
        <v>0.9231</v>
      </c>
      <c r="G106" s="250">
        <f>F106/6.1</f>
        <v>0.15132786885245902</v>
      </c>
      <c r="H106" s="216"/>
      <c r="I106" s="216"/>
      <c r="J106" s="216"/>
    </row>
    <row r="107" spans="1:10" ht="12.75">
      <c r="A107" s="221">
        <v>2010</v>
      </c>
      <c r="B107" s="252">
        <v>0</v>
      </c>
      <c r="C107" s="549">
        <v>0.04</v>
      </c>
      <c r="D107" s="54">
        <v>0</v>
      </c>
      <c r="E107" s="606">
        <f>0.521+0.1507</f>
        <v>0.6717</v>
      </c>
      <c r="F107" s="607">
        <f>SUM(B107:E107)</f>
        <v>0.7117</v>
      </c>
      <c r="G107" s="250">
        <f>F107/3.9</f>
        <v>0.1824871794871795</v>
      </c>
      <c r="H107" s="216"/>
      <c r="I107" s="216"/>
      <c r="J107" s="216"/>
    </row>
    <row r="108" spans="1:10" ht="12.75">
      <c r="A108" s="221">
        <v>2011</v>
      </c>
      <c r="B108" s="252">
        <v>0</v>
      </c>
      <c r="C108" s="549">
        <v>0.032</v>
      </c>
      <c r="D108" s="54">
        <v>0</v>
      </c>
      <c r="E108" s="100"/>
      <c r="F108" s="607">
        <f>SUM(B108:E108)</f>
        <v>0.032</v>
      </c>
      <c r="G108" s="250">
        <f>F108/3.9</f>
        <v>0.008205128205128205</v>
      </c>
      <c r="H108" s="216"/>
      <c r="I108" s="216"/>
      <c r="J108" s="216"/>
    </row>
    <row r="109" spans="1:10" ht="12.75">
      <c r="A109" s="221">
        <v>2012</v>
      </c>
      <c r="B109" s="963"/>
      <c r="C109" s="608">
        <v>0.015</v>
      </c>
      <c r="D109" s="48"/>
      <c r="E109" s="962">
        <v>0.37262</v>
      </c>
      <c r="F109" s="992">
        <f>SUM(B109:E109)</f>
        <v>0.38762</v>
      </c>
      <c r="G109" s="993">
        <f>F109/2.3</f>
        <v>0.1685304347826087</v>
      </c>
      <c r="H109" s="216"/>
      <c r="I109" s="216"/>
      <c r="J109" s="216"/>
    </row>
    <row r="110" spans="1:10" ht="12.75">
      <c r="A110" s="641" t="s">
        <v>242</v>
      </c>
      <c r="B110" s="4" t="s">
        <v>845</v>
      </c>
      <c r="C110" s="4"/>
      <c r="D110" s="4"/>
      <c r="E110" s="4"/>
      <c r="F110" s="4"/>
      <c r="G110" s="4"/>
      <c r="H110" s="692"/>
      <c r="I110" s="692"/>
      <c r="J110" s="217"/>
    </row>
    <row r="111" spans="1:10" ht="12.75">
      <c r="A111" s="54"/>
      <c r="B111" s="875" t="s">
        <v>846</v>
      </c>
      <c r="C111" s="249"/>
      <c r="D111" s="249"/>
      <c r="E111" s="248"/>
      <c r="F111" s="248"/>
      <c r="G111" s="247"/>
      <c r="H111" s="217"/>
      <c r="I111" s="217"/>
      <c r="J111" s="217"/>
    </row>
    <row r="112" spans="1:10" ht="12.75">
      <c r="A112" s="991"/>
      <c r="B112" s="875" t="s">
        <v>841</v>
      </c>
      <c r="C112" s="249"/>
      <c r="D112" s="249"/>
      <c r="E112" s="248"/>
      <c r="F112" s="248"/>
      <c r="G112" s="247"/>
      <c r="H112" s="217"/>
      <c r="I112" s="217"/>
      <c r="J112" s="692"/>
    </row>
    <row r="113" spans="1:10" ht="12.75">
      <c r="A113" s="54"/>
      <c r="B113" s="249"/>
      <c r="C113" s="249"/>
      <c r="D113" s="249"/>
      <c r="E113" s="248"/>
      <c r="F113" s="248"/>
      <c r="G113" s="247"/>
      <c r="H113" s="217"/>
      <c r="I113" s="217"/>
      <c r="J113" s="217"/>
    </row>
    <row r="114" spans="1:10" ht="12.75">
      <c r="A114" s="54"/>
      <c r="B114" s="249"/>
      <c r="C114" s="249"/>
      <c r="D114" s="249"/>
      <c r="E114" s="248"/>
      <c r="F114" s="248"/>
      <c r="G114" s="247"/>
      <c r="H114" s="217"/>
      <c r="I114" s="217"/>
      <c r="J114" s="217"/>
    </row>
    <row r="115" spans="1:10" ht="15.75">
      <c r="A115" s="979" t="s">
        <v>241</v>
      </c>
      <c r="B115" s="246" t="s">
        <v>240</v>
      </c>
      <c r="C115" s="70"/>
      <c r="D115" s="245"/>
      <c r="E115" s="242"/>
      <c r="F115" s="217"/>
      <c r="G115" s="217"/>
      <c r="H115" s="217"/>
      <c r="I115" s="217"/>
      <c r="J115" s="217"/>
    </row>
    <row r="116" spans="1:10" ht="15.75">
      <c r="A116" s="244"/>
      <c r="B116" s="243"/>
      <c r="D116" s="242"/>
      <c r="E116" s="242"/>
      <c r="F116" s="217"/>
      <c r="G116" s="217"/>
      <c r="H116" s="217"/>
      <c r="I116" s="217"/>
      <c r="J116" s="217"/>
    </row>
    <row r="117" spans="1:10" ht="12.75">
      <c r="A117" s="239" t="s">
        <v>239</v>
      </c>
      <c r="B117" s="241" t="s">
        <v>0</v>
      </c>
      <c r="C117" s="240" t="s">
        <v>1</v>
      </c>
      <c r="D117" s="240" t="s">
        <v>238</v>
      </c>
      <c r="E117" s="239" t="s">
        <v>237</v>
      </c>
      <c r="F117" s="238" t="s">
        <v>236</v>
      </c>
      <c r="G117" s="237" t="s">
        <v>235</v>
      </c>
      <c r="H117" s="217"/>
      <c r="I117" s="217"/>
      <c r="J117" s="217"/>
    </row>
    <row r="118" spans="1:10" ht="12.75">
      <c r="A118" s="236" t="s">
        <v>234</v>
      </c>
      <c r="B118" s="235" t="s">
        <v>8</v>
      </c>
      <c r="C118" s="234" t="s">
        <v>8</v>
      </c>
      <c r="D118" s="234" t="s">
        <v>8</v>
      </c>
      <c r="E118" s="234" t="s">
        <v>8</v>
      </c>
      <c r="F118" s="233" t="s">
        <v>8</v>
      </c>
      <c r="G118" s="232" t="s">
        <v>233</v>
      </c>
      <c r="H118" s="217"/>
      <c r="I118" s="217"/>
      <c r="J118" s="217"/>
    </row>
    <row r="119" spans="1:10" ht="12.75">
      <c r="A119" s="224">
        <v>1990</v>
      </c>
      <c r="B119" s="231">
        <v>0</v>
      </c>
      <c r="C119" s="220"/>
      <c r="D119" s="220">
        <v>0.01087</v>
      </c>
      <c r="E119" s="220"/>
      <c r="F119" s="220">
        <v>0.01087</v>
      </c>
      <c r="G119" s="222">
        <v>0.00433585959313921</v>
      </c>
      <c r="H119" s="217"/>
      <c r="I119" s="217"/>
      <c r="J119" s="217"/>
    </row>
    <row r="120" spans="1:10" ht="12.75">
      <c r="A120" s="224">
        <v>1991</v>
      </c>
      <c r="B120" s="231">
        <v>0</v>
      </c>
      <c r="C120" s="220"/>
      <c r="D120" s="220"/>
      <c r="E120" s="220"/>
      <c r="F120" s="220">
        <v>0</v>
      </c>
      <c r="G120" s="222">
        <v>0</v>
      </c>
      <c r="H120" s="217"/>
      <c r="I120" s="217"/>
      <c r="J120" s="217"/>
    </row>
    <row r="121" spans="1:10" ht="12.75">
      <c r="A121" s="224">
        <v>1992</v>
      </c>
      <c r="B121" s="231">
        <v>0</v>
      </c>
      <c r="C121" s="220"/>
      <c r="D121" s="220"/>
      <c r="E121" s="220"/>
      <c r="F121" s="220">
        <v>0</v>
      </c>
      <c r="G121" s="222">
        <v>0</v>
      </c>
      <c r="H121" s="217"/>
      <c r="I121" s="217"/>
      <c r="J121" s="217"/>
    </row>
    <row r="122" spans="1:10" ht="12.75">
      <c r="A122" s="224">
        <v>1993</v>
      </c>
      <c r="B122" s="231" t="s">
        <v>232</v>
      </c>
      <c r="C122" s="220"/>
      <c r="D122" s="220">
        <v>0.112</v>
      </c>
      <c r="E122" s="220"/>
      <c r="F122" s="220">
        <v>0.112</v>
      </c>
      <c r="G122" s="222">
        <v>0.010693144930303608</v>
      </c>
      <c r="H122" s="217"/>
      <c r="I122" s="217"/>
      <c r="J122" s="217"/>
    </row>
    <row r="123" spans="1:10" ht="12.75">
      <c r="A123" s="224">
        <v>1994</v>
      </c>
      <c r="B123" s="231">
        <v>0</v>
      </c>
      <c r="C123" s="220"/>
      <c r="D123" s="220"/>
      <c r="E123" s="220"/>
      <c r="F123" s="220">
        <v>0</v>
      </c>
      <c r="G123" s="222">
        <v>0</v>
      </c>
      <c r="H123" s="217"/>
      <c r="I123" s="217"/>
      <c r="J123" s="217"/>
    </row>
    <row r="124" spans="1:10" ht="12.75">
      <c r="A124" s="224">
        <v>1995</v>
      </c>
      <c r="B124" s="231">
        <v>0</v>
      </c>
      <c r="C124" s="220"/>
      <c r="D124" s="220">
        <v>0.02296</v>
      </c>
      <c r="E124" s="230">
        <v>0.09398</v>
      </c>
      <c r="F124" s="220">
        <v>0.11694</v>
      </c>
      <c r="G124" s="222">
        <v>0.010316590708187107</v>
      </c>
      <c r="H124" s="217"/>
      <c r="I124" s="217"/>
      <c r="J124" s="217"/>
    </row>
    <row r="125" spans="1:10" ht="12.75">
      <c r="A125" s="224">
        <v>1996</v>
      </c>
      <c r="B125" s="231">
        <v>0</v>
      </c>
      <c r="C125" s="220"/>
      <c r="D125" s="220"/>
      <c r="E125" s="230"/>
      <c r="F125" s="220">
        <v>0</v>
      </c>
      <c r="G125" s="222">
        <v>0</v>
      </c>
      <c r="H125" s="217"/>
      <c r="I125" s="217"/>
      <c r="J125" s="217"/>
    </row>
    <row r="126" spans="1:10" ht="12.75">
      <c r="A126" s="224">
        <v>1997</v>
      </c>
      <c r="B126" s="231">
        <v>0.225</v>
      </c>
      <c r="C126" s="220"/>
      <c r="D126" s="220">
        <v>0.1743</v>
      </c>
      <c r="E126" s="230">
        <v>0.0865</v>
      </c>
      <c r="F126" s="220">
        <v>0.4858</v>
      </c>
      <c r="G126" s="222">
        <v>0.031865976608877605</v>
      </c>
      <c r="H126" s="217"/>
      <c r="I126" s="217"/>
      <c r="J126" s="217"/>
    </row>
    <row r="127" spans="1:10" ht="12.75">
      <c r="A127" s="224">
        <v>1998</v>
      </c>
      <c r="B127" s="229">
        <v>0.228</v>
      </c>
      <c r="C127" s="226"/>
      <c r="D127" s="220">
        <v>0.2584</v>
      </c>
      <c r="E127" s="230">
        <v>0.10189999999999999</v>
      </c>
      <c r="F127" s="220">
        <v>0.5883</v>
      </c>
      <c r="G127" s="222">
        <v>0.034611868170142376</v>
      </c>
      <c r="H127" s="217"/>
      <c r="I127" s="217"/>
      <c r="J127" s="217"/>
    </row>
    <row r="128" spans="1:10" ht="12.75">
      <c r="A128" s="224">
        <v>1999</v>
      </c>
      <c r="B128" s="229">
        <v>0.282</v>
      </c>
      <c r="C128" s="226"/>
      <c r="D128" s="220">
        <v>0.3139</v>
      </c>
      <c r="E128" s="230">
        <v>0.093</v>
      </c>
      <c r="F128" s="220">
        <v>0.6889</v>
      </c>
      <c r="G128" s="222">
        <v>0.038853820747906435</v>
      </c>
      <c r="H128" s="217"/>
      <c r="I128" s="217"/>
      <c r="J128" s="217"/>
    </row>
    <row r="129" spans="1:10" ht="12.75">
      <c r="A129" s="224">
        <v>2000</v>
      </c>
      <c r="B129" s="229">
        <v>0.11</v>
      </c>
      <c r="C129" s="226"/>
      <c r="D129" s="220">
        <v>0.32443</v>
      </c>
      <c r="E129" s="230"/>
      <c r="F129" s="220">
        <v>0.43443</v>
      </c>
      <c r="G129" s="222">
        <v>0.01829289089827303</v>
      </c>
      <c r="H129" s="217"/>
      <c r="I129" s="217"/>
      <c r="J129" s="217"/>
    </row>
    <row r="130" spans="1:10" ht="12.75">
      <c r="A130" s="224">
        <v>2001</v>
      </c>
      <c r="B130" s="229">
        <v>0.116</v>
      </c>
      <c r="C130" s="226"/>
      <c r="D130" s="220">
        <v>0.245</v>
      </c>
      <c r="E130" s="230">
        <v>0.07933</v>
      </c>
      <c r="F130" s="220">
        <v>0.44033</v>
      </c>
      <c r="G130" s="222">
        <v>0.03204222328626171</v>
      </c>
      <c r="H130" s="217"/>
      <c r="I130" s="217"/>
      <c r="J130" s="217"/>
    </row>
    <row r="131" spans="1:10" ht="12.75">
      <c r="A131" s="224">
        <v>2002</v>
      </c>
      <c r="B131" s="229">
        <v>0.12</v>
      </c>
      <c r="C131" s="226"/>
      <c r="D131" s="220">
        <v>0.225</v>
      </c>
      <c r="E131" s="230">
        <v>0.1154</v>
      </c>
      <c r="F131" s="220">
        <v>0.4604</v>
      </c>
      <c r="G131" s="222">
        <v>0.029639911131769493</v>
      </c>
      <c r="H131" s="217"/>
      <c r="I131" s="217"/>
      <c r="J131" s="217"/>
    </row>
    <row r="132" spans="1:10" ht="12.75">
      <c r="A132" s="224">
        <v>2003</v>
      </c>
      <c r="B132" s="229">
        <v>0.116</v>
      </c>
      <c r="C132" s="226"/>
      <c r="D132" s="220"/>
      <c r="E132" s="230">
        <v>0.10593</v>
      </c>
      <c r="F132" s="220">
        <v>0.22193000000000002</v>
      </c>
      <c r="G132" s="222">
        <v>0.017071538461538464</v>
      </c>
      <c r="H132" s="217"/>
      <c r="I132" s="217"/>
      <c r="J132" s="217"/>
    </row>
    <row r="133" spans="1:10" ht="12.75">
      <c r="A133" s="224">
        <v>2004</v>
      </c>
      <c r="B133" s="229">
        <v>0.099</v>
      </c>
      <c r="C133" s="226"/>
      <c r="D133" s="220">
        <v>0.257</v>
      </c>
      <c r="E133" s="225">
        <f>0.08716+0.182</f>
        <v>0.26916</v>
      </c>
      <c r="F133" s="220">
        <f>SUM(B133:E133)</f>
        <v>0.6251599999999999</v>
      </c>
      <c r="G133" s="222">
        <f>F133/16.5</f>
        <v>0.037888484848484845</v>
      </c>
      <c r="H133" s="217"/>
      <c r="I133" s="217"/>
      <c r="J133" s="217"/>
    </row>
    <row r="134" spans="1:10" ht="12.75">
      <c r="A134" s="228">
        <v>2005</v>
      </c>
      <c r="B134" s="227">
        <v>0.085</v>
      </c>
      <c r="C134" s="226"/>
      <c r="D134" s="220"/>
      <c r="E134" s="225">
        <f>0.60332+0.08603</f>
        <v>0.6893499999999999</v>
      </c>
      <c r="F134" s="220">
        <f>SUM(B134:E134)</f>
        <v>0.7743499999999999</v>
      </c>
      <c r="G134" s="222">
        <f>F134/16.8</f>
        <v>0.04609226190476189</v>
      </c>
      <c r="H134" s="217"/>
      <c r="I134" s="217"/>
      <c r="J134" s="217"/>
    </row>
    <row r="135" spans="1:10" ht="12.75">
      <c r="A135" s="224">
        <v>2006</v>
      </c>
      <c r="B135" s="223">
        <v>0.079</v>
      </c>
      <c r="C135" s="54"/>
      <c r="D135" s="54"/>
      <c r="E135" s="100">
        <f>0.35013+0.35</f>
        <v>0.7001299999999999</v>
      </c>
      <c r="F135" s="220">
        <f>SUM(B135:E135)</f>
        <v>0.7791299999999999</v>
      </c>
      <c r="G135" s="222">
        <f>F135/18.3</f>
        <v>0.042575409836065566</v>
      </c>
      <c r="H135" s="217"/>
      <c r="I135" s="217"/>
      <c r="J135" s="217"/>
    </row>
    <row r="136" spans="1:10" ht="12.75">
      <c r="A136" s="224">
        <v>2007</v>
      </c>
      <c r="B136" s="223">
        <v>0.057</v>
      </c>
      <c r="C136" s="54"/>
      <c r="D136" s="54"/>
      <c r="E136" s="100">
        <f>0.45118+0.318+0.002936+0.0007+0.122+0.007+0.07553</f>
        <v>0.977346</v>
      </c>
      <c r="F136" s="220">
        <f>SUM(B136:E136)</f>
        <v>1.034346</v>
      </c>
      <c r="G136" s="222">
        <f>F136/22</f>
        <v>0.04701572727272727</v>
      </c>
      <c r="H136" s="217"/>
      <c r="I136" s="217"/>
      <c r="J136" s="217"/>
    </row>
    <row r="137" spans="1:10" ht="12.75">
      <c r="A137" s="598">
        <v>2008</v>
      </c>
      <c r="B137" s="223"/>
      <c r="C137" s="54"/>
      <c r="D137" s="54"/>
      <c r="E137" s="100"/>
      <c r="F137" s="597"/>
      <c r="G137" s="222"/>
      <c r="H137" s="217"/>
      <c r="I137" s="217"/>
      <c r="J137" s="217"/>
    </row>
    <row r="138" spans="1:10" ht="12.75">
      <c r="A138" s="598">
        <v>2009</v>
      </c>
      <c r="B138" s="223">
        <v>0</v>
      </c>
      <c r="C138" s="54">
        <v>0.008</v>
      </c>
      <c r="D138" s="54">
        <v>0</v>
      </c>
      <c r="E138" s="100">
        <v>0.505988</v>
      </c>
      <c r="F138" s="597">
        <f>SUM(B138:E138)</f>
        <v>0.513988</v>
      </c>
      <c r="G138" s="222">
        <f>F138/17.8</f>
        <v>0.028875730337078652</v>
      </c>
      <c r="H138" s="217"/>
      <c r="I138" s="217"/>
      <c r="J138" s="217"/>
    </row>
    <row r="139" spans="1:10" ht="12.75">
      <c r="A139" s="598">
        <v>2010</v>
      </c>
      <c r="B139" s="739">
        <v>0</v>
      </c>
      <c r="C139" s="54">
        <v>0.012</v>
      </c>
      <c r="D139" s="54">
        <v>0</v>
      </c>
      <c r="E139" s="800">
        <f>0.166+0.675+0.2368</f>
        <v>1.0778</v>
      </c>
      <c r="F139" s="597">
        <f>SUM(B139:E139)</f>
        <v>1.0898</v>
      </c>
      <c r="G139" s="222">
        <f>F139/14.9</f>
        <v>0.07314093959731544</v>
      </c>
      <c r="H139" s="217"/>
      <c r="I139" s="217"/>
      <c r="J139" s="217"/>
    </row>
    <row r="140" spans="1:10" ht="12.75">
      <c r="A140" s="598">
        <v>2011</v>
      </c>
      <c r="B140" s="739">
        <v>0</v>
      </c>
      <c r="C140" s="54">
        <v>0.012</v>
      </c>
      <c r="D140" s="54">
        <v>0</v>
      </c>
      <c r="E140" s="800">
        <v>0.67656</v>
      </c>
      <c r="F140" s="597">
        <f>SUM(B140:E140)</f>
        <v>0.6885600000000001</v>
      </c>
      <c r="G140" s="222">
        <f>F140/14.6</f>
        <v>0.04716164383561644</v>
      </c>
      <c r="H140" s="217"/>
      <c r="I140" s="217"/>
      <c r="J140" s="217"/>
    </row>
    <row r="141" spans="1:10" ht="12.75">
      <c r="A141" s="221">
        <v>2012</v>
      </c>
      <c r="B141" s="599">
        <v>0</v>
      </c>
      <c r="C141" s="48">
        <v>0.008</v>
      </c>
      <c r="D141" s="48">
        <v>0.01</v>
      </c>
      <c r="E141" s="610">
        <v>0.582</v>
      </c>
      <c r="F141" s="995">
        <f>SUM(B141:E141)</f>
        <v>0.6</v>
      </c>
      <c r="G141" s="996">
        <f>F141/18.7</f>
        <v>0.03208556149732621</v>
      </c>
      <c r="H141" s="217"/>
      <c r="I141" s="217"/>
      <c r="J141" s="217"/>
    </row>
    <row r="142" spans="1:10" ht="12.75">
      <c r="A142" s="666" t="s">
        <v>21</v>
      </c>
      <c r="B142" s="219" t="s">
        <v>511</v>
      </c>
      <c r="C142" s="216"/>
      <c r="D142" s="216"/>
      <c r="E142" s="216"/>
      <c r="F142" s="216"/>
      <c r="G142" s="216"/>
      <c r="H142" s="217"/>
      <c r="I142" s="218"/>
      <c r="J142" s="217"/>
    </row>
    <row r="143" spans="2:10" ht="12.75">
      <c r="B143" s="26" t="s">
        <v>231</v>
      </c>
      <c r="C143" s="4"/>
      <c r="D143" s="216" t="s">
        <v>808</v>
      </c>
      <c r="E143" s="216"/>
      <c r="F143" s="216"/>
      <c r="G143" s="216"/>
      <c r="H143" s="214"/>
      <c r="I143" s="214"/>
      <c r="J143" s="213"/>
    </row>
    <row r="144" spans="2:10" ht="12.75">
      <c r="B144" s="58"/>
      <c r="C144" s="58"/>
      <c r="D144" s="59"/>
      <c r="E144" s="214"/>
      <c r="F144" s="215"/>
      <c r="G144" s="214"/>
      <c r="H144" s="215"/>
      <c r="I144" s="214"/>
      <c r="J144" s="213"/>
    </row>
    <row r="145" spans="1:10" ht="12.75">
      <c r="A145" s="175" t="s">
        <v>248</v>
      </c>
      <c r="B145" s="58" t="s">
        <v>531</v>
      </c>
      <c r="C145" s="59"/>
      <c r="D145" s="214"/>
      <c r="E145" s="215"/>
      <c r="F145" s="214"/>
      <c r="G145" s="215"/>
      <c r="H145" s="214"/>
      <c r="I145" s="214"/>
      <c r="J145" s="213"/>
    </row>
    <row r="146" spans="2:10" ht="12.75">
      <c r="B146" s="58" t="s">
        <v>532</v>
      </c>
      <c r="H146" s="214"/>
      <c r="I146" s="214"/>
      <c r="J146" s="213"/>
    </row>
  </sheetData>
  <sheetProtection/>
  <printOptions/>
  <pageMargins left="0.75" right="0.75" top="1" bottom="1" header="0.5" footer="0.5"/>
  <pageSetup fitToHeight="0" fitToWidth="1" horizontalDpi="300" verticalDpi="300" orientation="portrait" paperSize="8" r:id="rId1"/>
  <headerFooter alignWithMargins="0">
    <oddHeader>&amp;LManufacturers returns &amp;CAnalysed for 2012 year &amp;RReport  to  Ministry of Health</oddHeader>
    <oddFooter>&amp;LAnalysed by Health NZ Ltd&amp;C30 August 2013&amp;RAdditives page &amp;P</oddFooter>
  </headerFooter>
  <rowBreaks count="2" manualBreakCount="2">
    <brk id="81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9"/>
  <sheetViews>
    <sheetView tabSelected="1" zoomScaleSheetLayoutView="100" zoomScalePageLayoutView="0" workbookViewId="0" topLeftCell="A1">
      <pane xSplit="14" ySplit="3" topLeftCell="O239" activePane="bottomRight" state="frozen"/>
      <selection pane="topLeft" activeCell="A1" sqref="A1"/>
      <selection pane="topRight" activeCell="P1" sqref="P1"/>
      <selection pane="bottomLeft" activeCell="A4" sqref="A4"/>
      <selection pane="bottomRight" activeCell="N256" sqref="N256"/>
    </sheetView>
  </sheetViews>
  <sheetFormatPr defaultColWidth="9.140625" defaultRowHeight="12.75"/>
  <cols>
    <col min="1" max="5" width="14.00390625" style="0" customWidth="1"/>
    <col min="6" max="6" width="15.28125" style="0" customWidth="1"/>
    <col min="7" max="12" width="14.00390625" style="0" customWidth="1"/>
    <col min="14" max="15" width="13.421875" style="54" customWidth="1"/>
    <col min="16" max="16" width="13.00390625" style="54" customWidth="1"/>
    <col min="17" max="199" width="9.140625" style="54" customWidth="1"/>
  </cols>
  <sheetData>
    <row r="1" spans="1:21" ht="18">
      <c r="A1" s="634" t="s">
        <v>22</v>
      </c>
      <c r="B1" s="211"/>
      <c r="C1" s="211"/>
      <c r="D1" s="1"/>
      <c r="E1" s="1"/>
      <c r="F1" s="2" t="s">
        <v>115</v>
      </c>
      <c r="G1" s="1"/>
      <c r="H1" s="1"/>
      <c r="I1" s="3"/>
      <c r="J1" s="3"/>
      <c r="K1" s="3"/>
      <c r="L1" s="3"/>
      <c r="Q1" s="1102"/>
      <c r="R1" s="1102"/>
      <c r="S1" s="1102"/>
      <c r="T1" s="1102"/>
      <c r="U1" s="26"/>
    </row>
    <row r="2" spans="2:15" ht="25.5">
      <c r="B2" s="62"/>
      <c r="C2" s="62"/>
      <c r="E2" s="725"/>
      <c r="F2" s="725"/>
      <c r="G2" s="725"/>
      <c r="H2" s="95"/>
      <c r="I2" s="314"/>
      <c r="J2" s="208"/>
      <c r="K2" s="208"/>
      <c r="L2" s="208"/>
      <c r="M2" s="208"/>
      <c r="N2" s="1212"/>
      <c r="O2" s="1212"/>
    </row>
    <row r="3" spans="1:19" ht="15.75">
      <c r="A3" s="635" t="s">
        <v>688</v>
      </c>
      <c r="B3" s="635"/>
      <c r="C3" s="635"/>
      <c r="D3" s="164"/>
      <c r="E3" s="164"/>
      <c r="F3" s="164"/>
      <c r="G3" s="164"/>
      <c r="H3" s="164"/>
      <c r="I3" s="164"/>
      <c r="J3" s="164"/>
      <c r="K3" s="164"/>
      <c r="L3" s="164"/>
      <c r="O3" s="646"/>
      <c r="P3" s="646"/>
      <c r="Q3" s="646"/>
      <c r="R3" s="646"/>
      <c r="S3" s="646"/>
    </row>
    <row r="4" spans="1:12" ht="25.5">
      <c r="A4" s="716"/>
      <c r="E4" s="716"/>
      <c r="F4" s="716"/>
      <c r="G4" s="716"/>
      <c r="H4" s="716"/>
      <c r="L4" s="4"/>
    </row>
    <row r="5" spans="1:13" ht="12.75">
      <c r="A5" s="5" t="s">
        <v>23</v>
      </c>
      <c r="B5" s="6" t="s">
        <v>24</v>
      </c>
      <c r="C5" s="7" t="s">
        <v>25</v>
      </c>
      <c r="D5" s="8" t="s">
        <v>29</v>
      </c>
      <c r="E5" s="8" t="s">
        <v>30</v>
      </c>
      <c r="F5" s="8" t="s">
        <v>31</v>
      </c>
      <c r="G5" s="8" t="s">
        <v>32</v>
      </c>
      <c r="H5" s="199" t="s">
        <v>140</v>
      </c>
      <c r="I5" s="211" t="s">
        <v>414</v>
      </c>
      <c r="J5" s="1149" t="s">
        <v>170</v>
      </c>
      <c r="K5" s="1149" t="s">
        <v>228</v>
      </c>
      <c r="L5" s="54"/>
      <c r="M5" s="54"/>
    </row>
    <row r="6" spans="1:13" ht="15.75">
      <c r="A6" s="9"/>
      <c r="B6" s="10" t="s">
        <v>27</v>
      </c>
      <c r="C6" s="11" t="s">
        <v>28</v>
      </c>
      <c r="D6" s="12" t="s">
        <v>114</v>
      </c>
      <c r="E6" s="13" t="s">
        <v>114</v>
      </c>
      <c r="F6" s="13" t="s">
        <v>114</v>
      </c>
      <c r="G6" s="14" t="s">
        <v>33</v>
      </c>
      <c r="H6" s="200" t="s">
        <v>690</v>
      </c>
      <c r="I6" s="925" t="s">
        <v>700</v>
      </c>
      <c r="J6" s="601" t="s">
        <v>690</v>
      </c>
      <c r="K6" s="751" t="s">
        <v>691</v>
      </c>
      <c r="L6" s="54"/>
      <c r="M6" s="43"/>
    </row>
    <row r="7" spans="1:13" ht="15.75">
      <c r="A7" s="5"/>
      <c r="B7" s="6"/>
      <c r="C7" s="16" t="s">
        <v>10</v>
      </c>
      <c r="D7" s="17" t="s">
        <v>11</v>
      </c>
      <c r="E7" s="18" t="s">
        <v>12</v>
      </c>
      <c r="F7" s="18" t="s">
        <v>13</v>
      </c>
      <c r="G7" s="19" t="s">
        <v>181</v>
      </c>
      <c r="H7" s="1131" t="s">
        <v>14</v>
      </c>
      <c r="I7" s="1132" t="s">
        <v>9</v>
      </c>
      <c r="J7" s="17" t="s">
        <v>684</v>
      </c>
      <c r="K7" s="17" t="s">
        <v>15</v>
      </c>
      <c r="L7" s="54"/>
      <c r="M7" s="54"/>
    </row>
    <row r="8" spans="1:13" ht="12.75">
      <c r="A8" s="20"/>
      <c r="B8" s="21"/>
      <c r="C8" s="22"/>
      <c r="D8" s="23" t="s">
        <v>689</v>
      </c>
      <c r="E8" s="23"/>
      <c r="F8" s="23"/>
      <c r="G8" s="24"/>
      <c r="H8" s="1155" t="s">
        <v>504</v>
      </c>
      <c r="I8" s="1156" t="s">
        <v>643</v>
      </c>
      <c r="J8" s="830" t="s">
        <v>26</v>
      </c>
      <c r="K8" s="830" t="s">
        <v>642</v>
      </c>
      <c r="L8" s="54"/>
      <c r="M8" s="54"/>
    </row>
    <row r="9" spans="1:13" ht="15.75">
      <c r="A9" s="25" t="s">
        <v>34</v>
      </c>
      <c r="B9" s="10"/>
      <c r="C9" s="15"/>
      <c r="D9" s="91"/>
      <c r="E9" s="177"/>
      <c r="F9" s="91"/>
      <c r="G9" s="91"/>
      <c r="H9" s="203" t="s">
        <v>180</v>
      </c>
      <c r="I9" s="433">
        <f>SUM(H10:H23)</f>
        <v>89435.3</v>
      </c>
      <c r="J9" s="191"/>
      <c r="K9" s="190"/>
      <c r="L9" s="54"/>
      <c r="M9" s="54"/>
    </row>
    <row r="10" spans="1:19" ht="13.5">
      <c r="A10" s="34" t="s">
        <v>35</v>
      </c>
      <c r="B10" s="10" t="s">
        <v>158</v>
      </c>
      <c r="C10" s="15">
        <v>20</v>
      </c>
      <c r="D10" s="468">
        <v>10</v>
      </c>
      <c r="E10" s="660">
        <v>0.8</v>
      </c>
      <c r="F10" s="468">
        <v>14</v>
      </c>
      <c r="G10" s="660">
        <f>D10/E10</f>
        <v>12.5</v>
      </c>
      <c r="H10" s="201">
        <v>14135.5</v>
      </c>
      <c r="I10" s="812">
        <v>16</v>
      </c>
      <c r="J10" s="178">
        <f>H10*I10/C10</f>
        <v>11308.4</v>
      </c>
      <c r="K10" s="188">
        <f>I10/C10</f>
        <v>0.8</v>
      </c>
      <c r="L10" s="54"/>
      <c r="M10" s="54"/>
      <c r="O10" s="101"/>
      <c r="P10" s="101"/>
      <c r="Q10" s="101"/>
      <c r="R10" s="101"/>
      <c r="S10" s="101"/>
    </row>
    <row r="11" spans="1:19" ht="13.5">
      <c r="A11" s="34"/>
      <c r="B11" s="10" t="s">
        <v>158</v>
      </c>
      <c r="C11" s="15">
        <v>25</v>
      </c>
      <c r="D11" s="178">
        <v>10</v>
      </c>
      <c r="E11" s="177">
        <v>0.8</v>
      </c>
      <c r="F11" s="178">
        <v>14</v>
      </c>
      <c r="G11" s="177">
        <f>D11/E11</f>
        <v>12.5</v>
      </c>
      <c r="H11" s="201">
        <v>13301.3</v>
      </c>
      <c r="I11" s="812">
        <v>19.7</v>
      </c>
      <c r="J11" s="178">
        <f>H11*I11/C11</f>
        <v>10481.4244</v>
      </c>
      <c r="K11" s="188">
        <f>I11/C11</f>
        <v>0.7879999999999999</v>
      </c>
      <c r="L11" s="54"/>
      <c r="M11" s="54"/>
      <c r="O11" s="101"/>
      <c r="P11" s="101"/>
      <c r="Q11" s="101"/>
      <c r="R11" s="101"/>
      <c r="S11" s="101"/>
    </row>
    <row r="12" spans="1:19" ht="13.5">
      <c r="A12" s="34"/>
      <c r="B12" s="10" t="s">
        <v>179</v>
      </c>
      <c r="C12" s="15">
        <v>20</v>
      </c>
      <c r="D12" s="468">
        <v>10</v>
      </c>
      <c r="E12" s="660">
        <v>0.7</v>
      </c>
      <c r="F12" s="468">
        <v>13</v>
      </c>
      <c r="G12" s="660">
        <f aca="true" t="shared" si="0" ref="G12:G22">D12/E12</f>
        <v>14.285714285714286</v>
      </c>
      <c r="H12" s="201">
        <v>975.4</v>
      </c>
      <c r="I12" s="812">
        <v>16</v>
      </c>
      <c r="J12" s="178">
        <f aca="true" t="shared" si="1" ref="J12:J45">H12*I12/C12</f>
        <v>780.3199999999999</v>
      </c>
      <c r="K12" s="188">
        <f aca="true" t="shared" si="2" ref="K12:K45">I12/C12</f>
        <v>0.8</v>
      </c>
      <c r="L12" s="54"/>
      <c r="M12" s="54"/>
      <c r="O12" s="101"/>
      <c r="P12" s="101"/>
      <c r="Q12" s="101"/>
      <c r="R12" s="101"/>
      <c r="S12" s="101"/>
    </row>
    <row r="13" spans="1:19" ht="13.5">
      <c r="A13" s="34"/>
      <c r="B13" s="10" t="s">
        <v>178</v>
      </c>
      <c r="C13" s="15">
        <v>20</v>
      </c>
      <c r="D13" s="468">
        <v>8</v>
      </c>
      <c r="E13" s="660">
        <v>0.7</v>
      </c>
      <c r="F13" s="468">
        <v>11</v>
      </c>
      <c r="G13" s="660">
        <f t="shared" si="0"/>
        <v>11.428571428571429</v>
      </c>
      <c r="H13" s="201">
        <v>29062.8</v>
      </c>
      <c r="I13" s="812">
        <v>16</v>
      </c>
      <c r="J13" s="178">
        <f t="shared" si="1"/>
        <v>23250.239999999998</v>
      </c>
      <c r="K13" s="188">
        <f t="shared" si="2"/>
        <v>0.8</v>
      </c>
      <c r="L13" s="54"/>
      <c r="M13" s="54"/>
      <c r="N13" s="101"/>
      <c r="O13" s="101"/>
      <c r="P13" s="101"/>
      <c r="Q13" s="101"/>
      <c r="R13" s="101"/>
      <c r="S13" s="101"/>
    </row>
    <row r="14" spans="1:19" ht="13.5">
      <c r="A14" s="34"/>
      <c r="B14" s="10" t="s">
        <v>178</v>
      </c>
      <c r="C14" s="15">
        <v>25</v>
      </c>
      <c r="D14" s="178">
        <v>8</v>
      </c>
      <c r="E14" s="177">
        <v>0.7</v>
      </c>
      <c r="F14" s="178">
        <v>11</v>
      </c>
      <c r="G14" s="177">
        <f>D14/E14</f>
        <v>11.428571428571429</v>
      </c>
      <c r="H14" s="201">
        <v>17569.8</v>
      </c>
      <c r="I14" s="812">
        <v>19.7</v>
      </c>
      <c r="J14" s="178">
        <f t="shared" si="1"/>
        <v>13845.0024</v>
      </c>
      <c r="K14" s="188">
        <f t="shared" si="2"/>
        <v>0.7879999999999999</v>
      </c>
      <c r="L14" s="54"/>
      <c r="M14" s="54"/>
      <c r="O14" s="101"/>
      <c r="P14" s="101"/>
      <c r="Q14" s="101"/>
      <c r="R14" s="101"/>
      <c r="S14" s="101"/>
    </row>
    <row r="15" spans="1:19" ht="13.5">
      <c r="A15" s="34"/>
      <c r="B15" s="10" t="s">
        <v>177</v>
      </c>
      <c r="C15" s="15">
        <v>20</v>
      </c>
      <c r="D15" s="468">
        <v>6</v>
      </c>
      <c r="E15" s="660">
        <v>0.6</v>
      </c>
      <c r="F15" s="468">
        <v>7</v>
      </c>
      <c r="G15" s="660">
        <f t="shared" si="0"/>
        <v>10</v>
      </c>
      <c r="H15" s="201">
        <v>2136.7</v>
      </c>
      <c r="I15" s="812">
        <v>16</v>
      </c>
      <c r="J15" s="178">
        <f t="shared" si="1"/>
        <v>1709.36</v>
      </c>
      <c r="K15" s="188">
        <f t="shared" si="2"/>
        <v>0.8</v>
      </c>
      <c r="L15" s="54"/>
      <c r="M15" s="54"/>
      <c r="O15" s="101"/>
      <c r="P15" s="101"/>
      <c r="Q15" s="101"/>
      <c r="R15" s="101"/>
      <c r="S15" s="101"/>
    </row>
    <row r="16" spans="1:19" ht="13.5">
      <c r="A16" s="34"/>
      <c r="B16" s="10" t="s">
        <v>548</v>
      </c>
      <c r="C16" s="15">
        <v>20</v>
      </c>
      <c r="D16" s="178">
        <v>6</v>
      </c>
      <c r="E16" s="177">
        <v>0.5</v>
      </c>
      <c r="F16" s="178">
        <v>6</v>
      </c>
      <c r="G16" s="177">
        <f>D16/E16</f>
        <v>12</v>
      </c>
      <c r="H16" s="201">
        <v>536.1</v>
      </c>
      <c r="I16" s="812">
        <v>16.4</v>
      </c>
      <c r="J16" s="178">
        <f t="shared" si="1"/>
        <v>439.602</v>
      </c>
      <c r="K16" s="188">
        <f t="shared" si="2"/>
        <v>0.82</v>
      </c>
      <c r="L16" s="54"/>
      <c r="M16" s="54"/>
      <c r="O16" s="101"/>
      <c r="P16" s="101"/>
      <c r="Q16" s="101"/>
      <c r="R16" s="101"/>
      <c r="S16" s="101"/>
    </row>
    <row r="17" spans="1:19" ht="13.5">
      <c r="A17" s="34"/>
      <c r="B17" s="10" t="s">
        <v>549</v>
      </c>
      <c r="C17" s="15">
        <v>20</v>
      </c>
      <c r="D17" s="178">
        <v>4</v>
      </c>
      <c r="E17" s="177">
        <v>0.4</v>
      </c>
      <c r="F17" s="178">
        <v>3</v>
      </c>
      <c r="G17" s="177">
        <f>D17/E17</f>
        <v>10</v>
      </c>
      <c r="H17" s="201">
        <v>777.8</v>
      </c>
      <c r="I17" s="812">
        <v>16.4</v>
      </c>
      <c r="J17" s="178">
        <f t="shared" si="1"/>
        <v>637.7959999999999</v>
      </c>
      <c r="K17" s="188">
        <f t="shared" si="2"/>
        <v>0.82</v>
      </c>
      <c r="L17" s="54"/>
      <c r="M17" s="54"/>
      <c r="O17" s="101"/>
      <c r="P17" s="101"/>
      <c r="Q17" s="101"/>
      <c r="R17" s="101"/>
      <c r="S17" s="101"/>
    </row>
    <row r="18" spans="1:19" ht="13.5">
      <c r="A18" s="34"/>
      <c r="B18" s="10" t="s">
        <v>141</v>
      </c>
      <c r="C18" s="15">
        <v>20</v>
      </c>
      <c r="D18" s="468">
        <v>8</v>
      </c>
      <c r="E18" s="660">
        <v>0.8</v>
      </c>
      <c r="F18" s="468">
        <v>10</v>
      </c>
      <c r="G18" s="660">
        <f t="shared" si="0"/>
        <v>10</v>
      </c>
      <c r="H18" s="201">
        <v>1602.5</v>
      </c>
      <c r="I18" s="812">
        <v>16.4</v>
      </c>
      <c r="J18" s="178">
        <f t="shared" si="1"/>
        <v>1314.0499999999997</v>
      </c>
      <c r="K18" s="188">
        <f t="shared" si="2"/>
        <v>0.82</v>
      </c>
      <c r="L18" s="54"/>
      <c r="M18" s="54"/>
      <c r="O18" s="101"/>
      <c r="P18" s="101"/>
      <c r="Q18" s="101"/>
      <c r="R18" s="101"/>
      <c r="S18" s="101"/>
    </row>
    <row r="19" spans="1:19" ht="13.5">
      <c r="A19" s="34"/>
      <c r="B19" s="10" t="s">
        <v>142</v>
      </c>
      <c r="C19" s="19">
        <v>20</v>
      </c>
      <c r="D19" s="707">
        <v>4</v>
      </c>
      <c r="E19" s="660">
        <v>0.4</v>
      </c>
      <c r="F19" s="193">
        <v>7</v>
      </c>
      <c r="G19" s="660">
        <f t="shared" si="0"/>
        <v>10</v>
      </c>
      <c r="H19" s="201">
        <v>2959.9</v>
      </c>
      <c r="I19" s="812">
        <v>16.4</v>
      </c>
      <c r="J19" s="178">
        <f t="shared" si="1"/>
        <v>2427.118</v>
      </c>
      <c r="K19" s="188">
        <f t="shared" si="2"/>
        <v>0.82</v>
      </c>
      <c r="L19" s="54"/>
      <c r="M19" s="101"/>
      <c r="O19" s="101"/>
      <c r="P19" s="101"/>
      <c r="Q19" s="101"/>
      <c r="R19" s="101"/>
      <c r="S19" s="101"/>
    </row>
    <row r="20" spans="1:19" ht="13.5">
      <c r="A20" s="34"/>
      <c r="B20" s="10" t="s">
        <v>692</v>
      </c>
      <c r="C20" s="19">
        <v>20</v>
      </c>
      <c r="D20" s="468">
        <v>11</v>
      </c>
      <c r="E20" s="660">
        <v>0.8</v>
      </c>
      <c r="F20" s="193">
        <v>12</v>
      </c>
      <c r="G20" s="660">
        <f t="shared" si="0"/>
        <v>13.75</v>
      </c>
      <c r="H20" s="201">
        <v>903.7</v>
      </c>
      <c r="I20" s="812">
        <v>16</v>
      </c>
      <c r="J20" s="178">
        <f t="shared" si="1"/>
        <v>722.96</v>
      </c>
      <c r="K20" s="188">
        <f t="shared" si="2"/>
        <v>0.8</v>
      </c>
      <c r="L20" s="54"/>
      <c r="M20" s="101"/>
      <c r="O20" s="101"/>
      <c r="P20" s="101"/>
      <c r="Q20" s="101"/>
      <c r="R20" s="101"/>
      <c r="S20" s="101"/>
    </row>
    <row r="21" spans="1:19" ht="13.5">
      <c r="A21" s="34"/>
      <c r="B21" s="10" t="s">
        <v>693</v>
      </c>
      <c r="C21" s="19">
        <v>20</v>
      </c>
      <c r="D21" s="468">
        <v>9</v>
      </c>
      <c r="E21" s="660">
        <v>0.8</v>
      </c>
      <c r="F21" s="193">
        <v>11</v>
      </c>
      <c r="G21" s="660">
        <f t="shared" si="0"/>
        <v>11.25</v>
      </c>
      <c r="H21" s="201">
        <v>3808.9</v>
      </c>
      <c r="I21" s="812">
        <v>16</v>
      </c>
      <c r="J21" s="178">
        <f t="shared" si="1"/>
        <v>3047.12</v>
      </c>
      <c r="K21" s="188">
        <f t="shared" si="2"/>
        <v>0.8</v>
      </c>
      <c r="L21" s="54"/>
      <c r="M21" s="101"/>
      <c r="O21" s="101"/>
      <c r="P21" s="101"/>
      <c r="Q21" s="101"/>
      <c r="R21" s="101"/>
      <c r="S21" s="101"/>
    </row>
    <row r="22" spans="1:19" ht="13.5">
      <c r="A22" s="34"/>
      <c r="B22" s="10" t="s">
        <v>694</v>
      </c>
      <c r="C22" s="19">
        <v>20</v>
      </c>
      <c r="D22" s="468">
        <v>8</v>
      </c>
      <c r="E22" s="660">
        <v>0.9</v>
      </c>
      <c r="F22" s="193">
        <v>10</v>
      </c>
      <c r="G22" s="660">
        <f t="shared" si="0"/>
        <v>8.88888888888889</v>
      </c>
      <c r="H22" s="201">
        <v>1510.8</v>
      </c>
      <c r="I22" s="812">
        <v>16</v>
      </c>
      <c r="J22" s="178">
        <f t="shared" si="1"/>
        <v>1208.6399999999999</v>
      </c>
      <c r="K22" s="188">
        <f t="shared" si="2"/>
        <v>0.8</v>
      </c>
      <c r="L22" s="54"/>
      <c r="M22" s="101"/>
      <c r="O22" s="101"/>
      <c r="P22" s="101"/>
      <c r="Q22" s="101"/>
      <c r="R22" s="101"/>
      <c r="S22" s="101"/>
    </row>
    <row r="23" spans="1:19" ht="13.5">
      <c r="A23" s="28"/>
      <c r="B23" s="21" t="s">
        <v>409</v>
      </c>
      <c r="C23" s="11">
        <v>20</v>
      </c>
      <c r="D23" s="807">
        <v>6</v>
      </c>
      <c r="E23" s="808">
        <v>0.5</v>
      </c>
      <c r="F23" s="541">
        <v>8</v>
      </c>
      <c r="G23" s="808">
        <f>D23/E23</f>
        <v>12</v>
      </c>
      <c r="H23" s="201">
        <v>154.1</v>
      </c>
      <c r="I23" s="812">
        <v>16</v>
      </c>
      <c r="J23" s="178">
        <f t="shared" si="1"/>
        <v>123.28</v>
      </c>
      <c r="K23" s="188">
        <f t="shared" si="2"/>
        <v>0.8</v>
      </c>
      <c r="L23" s="54"/>
      <c r="M23" s="54"/>
      <c r="O23" s="101"/>
      <c r="P23" s="101"/>
      <c r="Q23" s="101"/>
      <c r="R23" s="101"/>
      <c r="S23" s="101"/>
    </row>
    <row r="24" spans="1:19" ht="13.5">
      <c r="A24" s="34"/>
      <c r="B24" s="10"/>
      <c r="C24" s="15"/>
      <c r="D24" s="178"/>
      <c r="E24" s="177"/>
      <c r="F24" s="91"/>
      <c r="G24" s="177"/>
      <c r="H24" s="203" t="s">
        <v>37</v>
      </c>
      <c r="I24" s="560">
        <f>SUM(H25:H35)</f>
        <v>136269.2</v>
      </c>
      <c r="J24" s="182"/>
      <c r="K24" s="630"/>
      <c r="L24" s="54"/>
      <c r="M24" s="54"/>
      <c r="O24" s="101"/>
      <c r="P24" s="101"/>
      <c r="Q24" s="101"/>
      <c r="R24" s="101"/>
      <c r="S24" s="101"/>
    </row>
    <row r="25" spans="1:19" ht="13.5">
      <c r="A25" s="34" t="s">
        <v>38</v>
      </c>
      <c r="B25" s="10" t="s">
        <v>182</v>
      </c>
      <c r="C25" s="15">
        <v>20</v>
      </c>
      <c r="D25" s="468">
        <v>10</v>
      </c>
      <c r="E25" s="660">
        <v>0.9</v>
      </c>
      <c r="F25" s="468">
        <v>12</v>
      </c>
      <c r="G25" s="660">
        <f aca="true" t="shared" si="3" ref="G25:G33">D25/E25</f>
        <v>11.11111111111111</v>
      </c>
      <c r="H25" s="201">
        <v>2015.9</v>
      </c>
      <c r="I25" s="812">
        <v>13.6</v>
      </c>
      <c r="J25" s="178">
        <f t="shared" si="1"/>
        <v>1370.8120000000001</v>
      </c>
      <c r="K25" s="188">
        <f t="shared" si="2"/>
        <v>0.6799999999999999</v>
      </c>
      <c r="L25" s="54"/>
      <c r="M25" s="54"/>
      <c r="O25" s="101"/>
      <c r="P25" s="101"/>
      <c r="Q25" s="101"/>
      <c r="R25" s="101"/>
      <c r="S25" s="101"/>
    </row>
    <row r="26" spans="1:19" ht="13.5">
      <c r="A26" s="34"/>
      <c r="B26" s="10" t="s">
        <v>182</v>
      </c>
      <c r="C26" s="15">
        <v>25</v>
      </c>
      <c r="D26" s="178">
        <v>10</v>
      </c>
      <c r="E26" s="177">
        <v>0.9</v>
      </c>
      <c r="F26" s="178">
        <v>12</v>
      </c>
      <c r="G26" s="177">
        <f t="shared" si="3"/>
        <v>11.11111111111111</v>
      </c>
      <c r="H26" s="201">
        <v>788.7</v>
      </c>
      <c r="I26" s="812">
        <v>17</v>
      </c>
      <c r="J26" s="178">
        <f t="shared" si="1"/>
        <v>536.316</v>
      </c>
      <c r="K26" s="188">
        <f t="shared" si="2"/>
        <v>0.68</v>
      </c>
      <c r="L26" s="54"/>
      <c r="M26" s="54"/>
      <c r="O26" s="101"/>
      <c r="P26" s="101"/>
      <c r="Q26" s="101"/>
      <c r="R26" s="101"/>
      <c r="S26" s="101"/>
    </row>
    <row r="27" spans="1:19" ht="13.5">
      <c r="A27" s="34"/>
      <c r="B27" s="10" t="s">
        <v>183</v>
      </c>
      <c r="C27" s="15">
        <v>30</v>
      </c>
      <c r="D27" s="178">
        <v>10</v>
      </c>
      <c r="E27" s="177">
        <v>0.9</v>
      </c>
      <c r="F27" s="178">
        <v>12</v>
      </c>
      <c r="G27" s="177">
        <f t="shared" si="3"/>
        <v>11.11111111111111</v>
      </c>
      <c r="H27" s="201">
        <v>2022.6</v>
      </c>
      <c r="I27" s="812">
        <v>20.1</v>
      </c>
      <c r="J27" s="178">
        <f t="shared" si="1"/>
        <v>1355.142</v>
      </c>
      <c r="K27" s="188">
        <f t="shared" si="2"/>
        <v>0.67</v>
      </c>
      <c r="L27" s="54"/>
      <c r="M27" s="54"/>
      <c r="O27" s="101"/>
      <c r="P27" s="101"/>
      <c r="Q27" s="101"/>
      <c r="R27" s="101"/>
      <c r="S27" s="101"/>
    </row>
    <row r="28" spans="1:19" ht="13.5">
      <c r="A28" s="34"/>
      <c r="B28" s="10" t="s">
        <v>184</v>
      </c>
      <c r="C28" s="15">
        <v>20</v>
      </c>
      <c r="D28" s="468">
        <v>10</v>
      </c>
      <c r="E28" s="660">
        <v>0.6</v>
      </c>
      <c r="F28" s="468">
        <v>12</v>
      </c>
      <c r="G28" s="660">
        <f t="shared" si="3"/>
        <v>16.666666666666668</v>
      </c>
      <c r="H28" s="201">
        <v>4785.7</v>
      </c>
      <c r="I28" s="812">
        <v>13.6</v>
      </c>
      <c r="J28" s="178">
        <f t="shared" si="1"/>
        <v>3254.276</v>
      </c>
      <c r="K28" s="188">
        <f t="shared" si="2"/>
        <v>0.6799999999999999</v>
      </c>
      <c r="L28" s="54"/>
      <c r="M28" s="54"/>
      <c r="O28" s="101"/>
      <c r="P28" s="101"/>
      <c r="Q28" s="101"/>
      <c r="R28" s="101"/>
      <c r="S28" s="101"/>
    </row>
    <row r="29" spans="1:19" ht="13.5">
      <c r="A29" s="34"/>
      <c r="B29" s="10" t="s">
        <v>184</v>
      </c>
      <c r="C29" s="15">
        <v>25</v>
      </c>
      <c r="D29" s="178">
        <v>10</v>
      </c>
      <c r="E29" s="177">
        <v>0.6</v>
      </c>
      <c r="F29" s="178">
        <v>12</v>
      </c>
      <c r="G29" s="177">
        <f t="shared" si="3"/>
        <v>16.666666666666668</v>
      </c>
      <c r="H29" s="201">
        <v>1434</v>
      </c>
      <c r="I29" s="812">
        <v>17</v>
      </c>
      <c r="J29" s="178">
        <f t="shared" si="1"/>
        <v>975.12</v>
      </c>
      <c r="K29" s="188">
        <f t="shared" si="2"/>
        <v>0.68</v>
      </c>
      <c r="L29" s="54"/>
      <c r="M29" s="54"/>
      <c r="O29" s="101"/>
      <c r="P29" s="101"/>
      <c r="Q29" s="101"/>
      <c r="R29" s="101"/>
      <c r="S29" s="101"/>
    </row>
    <row r="30" spans="1:19" ht="13.5">
      <c r="A30" s="34"/>
      <c r="B30" s="10" t="s">
        <v>184</v>
      </c>
      <c r="C30" s="15">
        <v>30</v>
      </c>
      <c r="D30" s="178">
        <v>10</v>
      </c>
      <c r="E30" s="177">
        <v>0.6</v>
      </c>
      <c r="F30" s="178">
        <v>12</v>
      </c>
      <c r="G30" s="177">
        <f t="shared" si="3"/>
        <v>16.666666666666668</v>
      </c>
      <c r="H30" s="201">
        <v>5758.2</v>
      </c>
      <c r="I30" s="812">
        <v>20.1</v>
      </c>
      <c r="J30" s="178">
        <f t="shared" si="1"/>
        <v>3857.994</v>
      </c>
      <c r="K30" s="188">
        <f t="shared" si="2"/>
        <v>0.67</v>
      </c>
      <c r="L30" s="54"/>
      <c r="M30" s="54"/>
      <c r="O30" s="101"/>
      <c r="P30" s="101"/>
      <c r="Q30" s="101"/>
      <c r="R30" s="101"/>
      <c r="S30" s="101"/>
    </row>
    <row r="31" spans="1:19" ht="13.5">
      <c r="A31" s="34"/>
      <c r="B31" s="38" t="s">
        <v>188</v>
      </c>
      <c r="C31" s="15">
        <v>20</v>
      </c>
      <c r="D31" s="468">
        <v>12</v>
      </c>
      <c r="E31" s="660">
        <v>1</v>
      </c>
      <c r="F31" s="468">
        <v>17</v>
      </c>
      <c r="G31" s="660">
        <f t="shared" si="3"/>
        <v>12</v>
      </c>
      <c r="H31" s="201">
        <v>16816.5</v>
      </c>
      <c r="I31" s="812">
        <v>13.6</v>
      </c>
      <c r="J31" s="178">
        <f t="shared" si="1"/>
        <v>11435.22</v>
      </c>
      <c r="K31" s="188">
        <f t="shared" si="2"/>
        <v>0.6799999999999999</v>
      </c>
      <c r="L31" s="54"/>
      <c r="M31" s="54"/>
      <c r="O31" s="101"/>
      <c r="P31" s="101"/>
      <c r="Q31" s="101"/>
      <c r="R31" s="101"/>
      <c r="S31" s="101"/>
    </row>
    <row r="32" spans="1:19" ht="13.5">
      <c r="A32" s="34"/>
      <c r="B32" s="10" t="s">
        <v>188</v>
      </c>
      <c r="C32" s="15">
        <v>25</v>
      </c>
      <c r="D32" s="178">
        <v>12</v>
      </c>
      <c r="E32" s="177">
        <v>1</v>
      </c>
      <c r="F32" s="178">
        <v>17</v>
      </c>
      <c r="G32" s="177">
        <f t="shared" si="3"/>
        <v>12</v>
      </c>
      <c r="H32" s="201">
        <v>4863.3</v>
      </c>
      <c r="I32" s="812">
        <v>17</v>
      </c>
      <c r="J32" s="178">
        <f t="shared" si="1"/>
        <v>3307.0440000000003</v>
      </c>
      <c r="K32" s="188">
        <f t="shared" si="2"/>
        <v>0.68</v>
      </c>
      <c r="L32" s="54"/>
      <c r="M32" s="100"/>
      <c r="O32" s="101"/>
      <c r="P32" s="101"/>
      <c r="Q32" s="101"/>
      <c r="R32" s="101"/>
      <c r="S32" s="101"/>
    </row>
    <row r="33" spans="1:19" ht="13.5">
      <c r="A33" s="34"/>
      <c r="B33" s="10" t="s">
        <v>188</v>
      </c>
      <c r="C33" s="15">
        <v>30</v>
      </c>
      <c r="D33" s="178">
        <v>12</v>
      </c>
      <c r="E33" s="177">
        <v>1</v>
      </c>
      <c r="F33" s="178">
        <v>17</v>
      </c>
      <c r="G33" s="177">
        <f t="shared" si="3"/>
        <v>12</v>
      </c>
      <c r="H33" s="201">
        <v>15047.3</v>
      </c>
      <c r="I33" s="812">
        <v>20.1</v>
      </c>
      <c r="J33" s="178">
        <f t="shared" si="1"/>
        <v>10081.690999999999</v>
      </c>
      <c r="K33" s="188">
        <f t="shared" si="2"/>
        <v>0.67</v>
      </c>
      <c r="L33" s="54"/>
      <c r="M33" s="54"/>
      <c r="O33" s="101"/>
      <c r="P33" s="101"/>
      <c r="Q33" s="101"/>
      <c r="R33" s="101"/>
      <c r="S33" s="101"/>
    </row>
    <row r="34" spans="1:19" ht="13.5">
      <c r="A34" s="34"/>
      <c r="B34" s="10" t="s">
        <v>434</v>
      </c>
      <c r="C34" s="15">
        <v>20</v>
      </c>
      <c r="D34" s="468">
        <v>12</v>
      </c>
      <c r="E34" s="660">
        <v>1.1</v>
      </c>
      <c r="F34" s="468">
        <v>15</v>
      </c>
      <c r="G34" s="660">
        <v>10.9</v>
      </c>
      <c r="H34" s="201">
        <v>54171</v>
      </c>
      <c r="I34" s="812">
        <v>13.6</v>
      </c>
      <c r="J34" s="178">
        <f t="shared" si="1"/>
        <v>36836.28</v>
      </c>
      <c r="K34" s="188">
        <f t="shared" si="2"/>
        <v>0.6799999999999999</v>
      </c>
      <c r="L34" s="54"/>
      <c r="M34" s="54"/>
      <c r="O34" s="101"/>
      <c r="P34" s="101"/>
      <c r="Q34" s="101"/>
      <c r="R34" s="101"/>
      <c r="S34" s="101"/>
    </row>
    <row r="35" spans="1:21" ht="13.5">
      <c r="A35" s="34"/>
      <c r="B35" s="10" t="s">
        <v>434</v>
      </c>
      <c r="C35" s="15">
        <v>30</v>
      </c>
      <c r="D35" s="178">
        <v>12</v>
      </c>
      <c r="E35" s="177">
        <v>1.1</v>
      </c>
      <c r="F35" s="178">
        <v>15</v>
      </c>
      <c r="G35" s="177">
        <v>10.9</v>
      </c>
      <c r="H35" s="201">
        <v>28566</v>
      </c>
      <c r="I35" s="812">
        <v>20.1</v>
      </c>
      <c r="J35" s="178">
        <f t="shared" si="1"/>
        <v>19139.220000000005</v>
      </c>
      <c r="K35" s="188">
        <f t="shared" si="2"/>
        <v>0.67</v>
      </c>
      <c r="L35" s="54"/>
      <c r="M35" s="54"/>
      <c r="O35" s="101"/>
      <c r="P35" s="101"/>
      <c r="Q35" s="101"/>
      <c r="R35" s="101"/>
      <c r="S35" s="101"/>
      <c r="T35" s="101"/>
      <c r="U35" s="101"/>
    </row>
    <row r="36" spans="1:19" ht="12.75">
      <c r="A36" s="1159" t="s">
        <v>41</v>
      </c>
      <c r="B36" s="6"/>
      <c r="C36" s="7"/>
      <c r="D36" s="639"/>
      <c r="E36" s="180"/>
      <c r="F36" s="181"/>
      <c r="G36" s="181"/>
      <c r="H36" s="203" t="s">
        <v>41</v>
      </c>
      <c r="I36" s="560">
        <f>SUM(H37:H59)</f>
        <v>411259</v>
      </c>
      <c r="J36" s="182"/>
      <c r="K36" s="630"/>
      <c r="L36" s="54"/>
      <c r="M36" s="54"/>
      <c r="O36" s="101"/>
      <c r="P36" s="101"/>
      <c r="Q36" s="101"/>
      <c r="R36" s="101"/>
      <c r="S36" s="101"/>
    </row>
    <row r="37" spans="1:19" ht="13.5">
      <c r="A37" s="34" t="s">
        <v>41</v>
      </c>
      <c r="B37" s="10" t="s">
        <v>182</v>
      </c>
      <c r="C37" s="15">
        <v>30</v>
      </c>
      <c r="D37" s="183">
        <v>10</v>
      </c>
      <c r="E37" s="177">
        <v>1</v>
      </c>
      <c r="F37" s="178">
        <v>12</v>
      </c>
      <c r="G37" s="177">
        <v>11.1</v>
      </c>
      <c r="H37" s="201">
        <v>20858.4</v>
      </c>
      <c r="I37" s="812">
        <v>21.4</v>
      </c>
      <c r="J37" s="178">
        <f t="shared" si="1"/>
        <v>14878.992</v>
      </c>
      <c r="K37" s="188">
        <f t="shared" si="2"/>
        <v>0.7133333333333333</v>
      </c>
      <c r="L37" s="54"/>
      <c r="M37" s="54"/>
      <c r="N37" s="101"/>
      <c r="O37" s="101"/>
      <c r="P37" s="101"/>
      <c r="Q37" s="101"/>
      <c r="R37" s="101"/>
      <c r="S37" s="101"/>
    </row>
    <row r="38" spans="1:19" ht="13.5">
      <c r="A38" s="34"/>
      <c r="B38" s="10" t="s">
        <v>183</v>
      </c>
      <c r="C38" s="19">
        <v>20</v>
      </c>
      <c r="D38" s="707">
        <v>10</v>
      </c>
      <c r="E38" s="660">
        <v>1</v>
      </c>
      <c r="F38" s="468">
        <v>12</v>
      </c>
      <c r="G38" s="660">
        <v>11.1</v>
      </c>
      <c r="H38" s="201">
        <v>34129.8</v>
      </c>
      <c r="I38" s="812">
        <v>14.4</v>
      </c>
      <c r="J38" s="178">
        <f t="shared" si="1"/>
        <v>24573.456000000002</v>
      </c>
      <c r="K38" s="188">
        <f t="shared" si="2"/>
        <v>0.72</v>
      </c>
      <c r="L38" s="54"/>
      <c r="M38" s="54"/>
      <c r="O38" s="101"/>
      <c r="P38" s="101"/>
      <c r="Q38" s="101"/>
      <c r="R38" s="101"/>
      <c r="S38" s="101"/>
    </row>
    <row r="39" spans="1:19" ht="13.5">
      <c r="A39" s="34"/>
      <c r="B39" s="10" t="s">
        <v>183</v>
      </c>
      <c r="C39" s="19">
        <v>25</v>
      </c>
      <c r="D39" s="183">
        <v>10</v>
      </c>
      <c r="E39" s="177">
        <v>1</v>
      </c>
      <c r="F39" s="178">
        <v>12</v>
      </c>
      <c r="G39" s="177">
        <v>11.1</v>
      </c>
      <c r="H39" s="201">
        <v>21387.5</v>
      </c>
      <c r="I39" s="812">
        <v>17.9</v>
      </c>
      <c r="J39" s="178">
        <f t="shared" si="1"/>
        <v>15313.449999999997</v>
      </c>
      <c r="K39" s="188">
        <f t="shared" si="2"/>
        <v>0.716</v>
      </c>
      <c r="L39" s="54"/>
      <c r="M39" s="54"/>
      <c r="O39" s="101"/>
      <c r="P39" s="101"/>
      <c r="Q39" s="101"/>
      <c r="R39" s="101"/>
      <c r="S39" s="101"/>
    </row>
    <row r="40" spans="1:19" ht="13.5">
      <c r="A40" s="34"/>
      <c r="B40" s="10" t="s">
        <v>625</v>
      </c>
      <c r="C40" s="19">
        <v>20</v>
      </c>
      <c r="D40" s="707">
        <v>10</v>
      </c>
      <c r="E40" s="660">
        <v>0.9</v>
      </c>
      <c r="F40" s="468">
        <v>13</v>
      </c>
      <c r="G40" s="660">
        <v>11.1</v>
      </c>
      <c r="H40" s="201">
        <v>2140.4</v>
      </c>
      <c r="I40" s="812">
        <v>13.8</v>
      </c>
      <c r="J40" s="178">
        <f t="shared" si="1"/>
        <v>1476.8760000000002</v>
      </c>
      <c r="K40" s="188">
        <f t="shared" si="2"/>
        <v>0.6900000000000001</v>
      </c>
      <c r="L40" s="54"/>
      <c r="M40" s="54"/>
      <c r="O40" s="101"/>
      <c r="P40" s="101"/>
      <c r="Q40" s="101"/>
      <c r="R40" s="101"/>
      <c r="S40" s="101"/>
    </row>
    <row r="41" spans="1:19" ht="13.5">
      <c r="A41" s="34"/>
      <c r="B41" s="10" t="s">
        <v>185</v>
      </c>
      <c r="C41" s="15">
        <v>50</v>
      </c>
      <c r="D41" s="183">
        <v>10</v>
      </c>
      <c r="E41" s="177">
        <v>1</v>
      </c>
      <c r="F41" s="178">
        <v>12</v>
      </c>
      <c r="G41" s="177">
        <v>11.1</v>
      </c>
      <c r="H41" s="201">
        <v>4774.9</v>
      </c>
      <c r="I41" s="812">
        <v>35.3</v>
      </c>
      <c r="J41" s="178">
        <f t="shared" si="1"/>
        <v>3371.0793999999996</v>
      </c>
      <c r="K41" s="188">
        <f t="shared" si="2"/>
        <v>0.706</v>
      </c>
      <c r="L41" s="54"/>
      <c r="M41" s="54"/>
      <c r="O41" s="101"/>
      <c r="P41" s="101"/>
      <c r="Q41" s="101"/>
      <c r="R41" s="101"/>
      <c r="S41" s="101"/>
    </row>
    <row r="42" spans="1:19" ht="13.5">
      <c r="A42" s="34" t="s">
        <v>41</v>
      </c>
      <c r="B42" s="10" t="s">
        <v>186</v>
      </c>
      <c r="C42" s="15">
        <v>20</v>
      </c>
      <c r="D42" s="468">
        <v>11</v>
      </c>
      <c r="E42" s="660">
        <v>0.7</v>
      </c>
      <c r="F42" s="468">
        <v>13</v>
      </c>
      <c r="G42" s="660">
        <f>D42/E42</f>
        <v>15.714285714285715</v>
      </c>
      <c r="H42" s="201">
        <v>28427.3</v>
      </c>
      <c r="I42" s="812">
        <v>14.4</v>
      </c>
      <c r="J42" s="178">
        <f t="shared" si="1"/>
        <v>20467.656</v>
      </c>
      <c r="K42" s="188">
        <f t="shared" si="2"/>
        <v>0.72</v>
      </c>
      <c r="L42" s="54"/>
      <c r="M42" s="54"/>
      <c r="N42" s="101"/>
      <c r="O42" s="101"/>
      <c r="P42" s="101"/>
      <c r="Q42" s="101"/>
      <c r="R42" s="101"/>
      <c r="S42" s="101"/>
    </row>
    <row r="43" spans="1:19" ht="13.5">
      <c r="A43" s="34"/>
      <c r="B43" s="10" t="s">
        <v>435</v>
      </c>
      <c r="C43" s="15">
        <v>20</v>
      </c>
      <c r="D43" s="468">
        <v>10</v>
      </c>
      <c r="E43" s="660">
        <v>0.6</v>
      </c>
      <c r="F43" s="468">
        <v>13</v>
      </c>
      <c r="G43" s="660">
        <f>D43/E43</f>
        <v>16.666666666666668</v>
      </c>
      <c r="H43" s="201">
        <v>2190.8</v>
      </c>
      <c r="I43" s="812">
        <v>13.8</v>
      </c>
      <c r="J43" s="178">
        <f t="shared" si="1"/>
        <v>1511.6520000000003</v>
      </c>
      <c r="K43" s="188">
        <f t="shared" si="2"/>
        <v>0.6900000000000001</v>
      </c>
      <c r="L43" s="54"/>
      <c r="M43" s="54"/>
      <c r="O43" s="101"/>
      <c r="P43" s="101"/>
      <c r="Q43" s="101"/>
      <c r="R43" s="101"/>
      <c r="S43" s="101"/>
    </row>
    <row r="44" spans="1:19" ht="13.5">
      <c r="A44" s="34"/>
      <c r="B44" s="10" t="s">
        <v>186</v>
      </c>
      <c r="C44" s="15">
        <v>25</v>
      </c>
      <c r="D44" s="178">
        <v>11</v>
      </c>
      <c r="E44" s="177">
        <v>0.7</v>
      </c>
      <c r="F44" s="178">
        <v>13</v>
      </c>
      <c r="G44" s="177">
        <f>D44/E44</f>
        <v>15.714285714285715</v>
      </c>
      <c r="H44" s="201">
        <v>17282.9</v>
      </c>
      <c r="I44" s="812">
        <v>17.9</v>
      </c>
      <c r="J44" s="178">
        <f t="shared" si="1"/>
        <v>12374.5564</v>
      </c>
      <c r="K44" s="188">
        <f t="shared" si="2"/>
        <v>0.716</v>
      </c>
      <c r="L44" s="54"/>
      <c r="M44" s="54"/>
      <c r="O44" s="101"/>
      <c r="P44" s="101"/>
      <c r="Q44" s="101"/>
      <c r="R44" s="101"/>
      <c r="S44" s="101"/>
    </row>
    <row r="45" spans="1:19" ht="13.5">
      <c r="A45" s="34"/>
      <c r="B45" s="10" t="s">
        <v>186</v>
      </c>
      <c r="C45" s="15">
        <v>30</v>
      </c>
      <c r="D45" s="178">
        <v>10</v>
      </c>
      <c r="E45" s="177">
        <v>0.7</v>
      </c>
      <c r="F45" s="178">
        <v>13</v>
      </c>
      <c r="G45" s="177">
        <f>D45/E45</f>
        <v>14.285714285714286</v>
      </c>
      <c r="H45" s="201">
        <v>19875.7</v>
      </c>
      <c r="I45" s="812">
        <v>21.4</v>
      </c>
      <c r="J45" s="178">
        <f t="shared" si="1"/>
        <v>14177.999333333333</v>
      </c>
      <c r="K45" s="188">
        <f t="shared" si="2"/>
        <v>0.7133333333333333</v>
      </c>
      <c r="L45" s="54"/>
      <c r="M45" s="54"/>
      <c r="O45" s="101"/>
      <c r="P45" s="101"/>
      <c r="Q45" s="101"/>
      <c r="R45" s="101"/>
      <c r="S45" s="101"/>
    </row>
    <row r="46" spans="1:19" ht="13.5">
      <c r="A46" s="34"/>
      <c r="B46" s="10" t="s">
        <v>187</v>
      </c>
      <c r="C46" s="15">
        <v>50</v>
      </c>
      <c r="D46" s="468">
        <v>11</v>
      </c>
      <c r="E46" s="660">
        <v>0.7</v>
      </c>
      <c r="F46" s="468">
        <v>13</v>
      </c>
      <c r="G46" s="660">
        <v>14.3</v>
      </c>
      <c r="H46" s="201">
        <v>3381.8</v>
      </c>
      <c r="I46" s="812">
        <v>35.3</v>
      </c>
      <c r="J46" s="178">
        <f aca="true" t="shared" si="4" ref="J46:J59">H46*I46/C46</f>
        <v>2387.5508</v>
      </c>
      <c r="K46" s="188">
        <f aca="true" t="shared" si="5" ref="K46:K59">I46/C46</f>
        <v>0.706</v>
      </c>
      <c r="L46" s="54"/>
      <c r="M46" s="54"/>
      <c r="O46" s="101"/>
      <c r="P46" s="101"/>
      <c r="Q46" s="101"/>
      <c r="R46" s="101"/>
      <c r="S46" s="101"/>
    </row>
    <row r="47" spans="1:19" ht="13.5">
      <c r="A47" s="34"/>
      <c r="B47" s="10" t="s">
        <v>159</v>
      </c>
      <c r="C47" s="19">
        <v>25</v>
      </c>
      <c r="D47" s="178">
        <v>12</v>
      </c>
      <c r="E47" s="177">
        <v>0.8</v>
      </c>
      <c r="F47" s="178">
        <v>16</v>
      </c>
      <c r="G47" s="177">
        <v>14.3</v>
      </c>
      <c r="H47" s="201">
        <v>11.7</v>
      </c>
      <c r="I47" s="812">
        <v>17.9</v>
      </c>
      <c r="J47" s="178">
        <f t="shared" si="4"/>
        <v>8.377199999999998</v>
      </c>
      <c r="K47" s="188">
        <f t="shared" si="5"/>
        <v>0.716</v>
      </c>
      <c r="L47" s="54"/>
      <c r="M47" s="54"/>
      <c r="O47" s="101"/>
      <c r="P47" s="101"/>
      <c r="Q47" s="101"/>
      <c r="R47" s="101"/>
      <c r="S47" s="101"/>
    </row>
    <row r="48" spans="1:19" ht="13.5">
      <c r="A48" s="34"/>
      <c r="B48" s="10" t="s">
        <v>159</v>
      </c>
      <c r="C48" s="19">
        <v>30</v>
      </c>
      <c r="D48" s="178">
        <v>12</v>
      </c>
      <c r="E48" s="177">
        <v>0.8</v>
      </c>
      <c r="F48" s="178">
        <v>16</v>
      </c>
      <c r="G48" s="177">
        <v>14.3</v>
      </c>
      <c r="H48" s="201">
        <v>55.2</v>
      </c>
      <c r="I48" s="812">
        <v>21.4</v>
      </c>
      <c r="J48" s="178">
        <f t="shared" si="4"/>
        <v>39.376</v>
      </c>
      <c r="K48" s="188">
        <f t="shared" si="5"/>
        <v>0.7133333333333333</v>
      </c>
      <c r="L48" s="54"/>
      <c r="M48" s="54"/>
      <c r="O48" s="101"/>
      <c r="P48" s="101"/>
      <c r="Q48" s="101"/>
      <c r="R48" s="101"/>
      <c r="S48" s="101"/>
    </row>
    <row r="49" spans="1:19" ht="15.75">
      <c r="A49" s="9" t="s">
        <v>41</v>
      </c>
      <c r="B49" s="10" t="s">
        <v>188</v>
      </c>
      <c r="C49" s="15">
        <v>20</v>
      </c>
      <c r="D49" s="198">
        <v>12</v>
      </c>
      <c r="E49" s="809">
        <v>1</v>
      </c>
      <c r="F49" s="198">
        <v>15</v>
      </c>
      <c r="G49" s="729">
        <f aca="true" t="shared" si="6" ref="G49:G59">D49/E49</f>
        <v>12</v>
      </c>
      <c r="H49" s="731">
        <v>95108.7</v>
      </c>
      <c r="I49" s="800">
        <v>14.4</v>
      </c>
      <c r="J49" s="178">
        <f t="shared" si="4"/>
        <v>68478.264</v>
      </c>
      <c r="K49" s="188">
        <f t="shared" si="5"/>
        <v>0.72</v>
      </c>
      <c r="L49" s="54"/>
      <c r="M49" s="54"/>
      <c r="N49" s="101"/>
      <c r="O49" s="101"/>
      <c r="P49" s="101"/>
      <c r="Q49" s="101"/>
      <c r="R49" s="101"/>
      <c r="S49" s="101"/>
    </row>
    <row r="50" spans="1:19" ht="15.75">
      <c r="A50" s="9"/>
      <c r="B50" s="10" t="s">
        <v>436</v>
      </c>
      <c r="C50" s="15">
        <v>20</v>
      </c>
      <c r="D50" s="198">
        <v>12</v>
      </c>
      <c r="E50" s="809">
        <v>1</v>
      </c>
      <c r="F50" s="198">
        <v>16</v>
      </c>
      <c r="G50" s="729">
        <f t="shared" si="6"/>
        <v>12</v>
      </c>
      <c r="H50" s="731">
        <v>3469.8</v>
      </c>
      <c r="I50" s="812">
        <v>13.8</v>
      </c>
      <c r="J50" s="178">
        <f t="shared" si="4"/>
        <v>2394.1620000000003</v>
      </c>
      <c r="K50" s="188">
        <f t="shared" si="5"/>
        <v>0.6900000000000001</v>
      </c>
      <c r="L50" s="54"/>
      <c r="M50" s="54"/>
      <c r="O50" s="101"/>
      <c r="P50" s="101"/>
      <c r="Q50" s="101"/>
      <c r="R50" s="101"/>
      <c r="S50" s="101"/>
    </row>
    <row r="51" spans="1:19" ht="15.75">
      <c r="A51" s="9"/>
      <c r="B51" s="10" t="s">
        <v>188</v>
      </c>
      <c r="C51" s="15">
        <v>25</v>
      </c>
      <c r="D51" s="41">
        <v>12</v>
      </c>
      <c r="E51" s="42">
        <v>1</v>
      </c>
      <c r="F51" s="41">
        <v>15</v>
      </c>
      <c r="G51" s="188">
        <f t="shared" si="6"/>
        <v>12</v>
      </c>
      <c r="H51" s="731">
        <v>49507</v>
      </c>
      <c r="I51" s="812">
        <v>17.9</v>
      </c>
      <c r="J51" s="178">
        <f t="shared" si="4"/>
        <v>35447.011999999995</v>
      </c>
      <c r="K51" s="188">
        <f t="shared" si="5"/>
        <v>0.716</v>
      </c>
      <c r="L51" s="54"/>
      <c r="M51" s="54"/>
      <c r="O51" s="101"/>
      <c r="P51" s="101"/>
      <c r="Q51" s="101"/>
      <c r="R51" s="101"/>
      <c r="S51" s="101"/>
    </row>
    <row r="52" spans="1:19" ht="15.75">
      <c r="A52" s="9"/>
      <c r="B52" s="10" t="s">
        <v>188</v>
      </c>
      <c r="C52" s="15">
        <v>30</v>
      </c>
      <c r="D52" s="41">
        <v>12</v>
      </c>
      <c r="E52" s="42">
        <v>1</v>
      </c>
      <c r="F52" s="41">
        <v>15</v>
      </c>
      <c r="G52" s="188">
        <f t="shared" si="6"/>
        <v>12</v>
      </c>
      <c r="H52" s="731">
        <v>56647.5</v>
      </c>
      <c r="I52" s="812">
        <v>21.4</v>
      </c>
      <c r="J52" s="178">
        <f t="shared" si="4"/>
        <v>40408.55</v>
      </c>
      <c r="K52" s="188">
        <f t="shared" si="5"/>
        <v>0.7133333333333333</v>
      </c>
      <c r="L52" s="54"/>
      <c r="M52" s="54"/>
      <c r="O52" s="101"/>
      <c r="P52" s="101"/>
      <c r="Q52" s="101"/>
      <c r="R52" s="101"/>
      <c r="S52" s="101"/>
    </row>
    <row r="53" spans="1:19" ht="15.75">
      <c r="A53" s="9"/>
      <c r="B53" s="10" t="s">
        <v>189</v>
      </c>
      <c r="C53" s="15">
        <v>50</v>
      </c>
      <c r="D53" s="41">
        <v>12</v>
      </c>
      <c r="E53" s="42">
        <v>1</v>
      </c>
      <c r="F53" s="41">
        <v>15</v>
      </c>
      <c r="G53" s="188">
        <f t="shared" si="6"/>
        <v>12</v>
      </c>
      <c r="H53" s="731">
        <v>9781.6</v>
      </c>
      <c r="I53" s="812">
        <v>35.3</v>
      </c>
      <c r="J53" s="178">
        <f t="shared" si="4"/>
        <v>6905.8096</v>
      </c>
      <c r="K53" s="188">
        <f t="shared" si="5"/>
        <v>0.706</v>
      </c>
      <c r="L53" s="54"/>
      <c r="M53" s="54"/>
      <c r="O53" s="101"/>
      <c r="P53" s="101"/>
      <c r="Q53" s="101"/>
      <c r="R53" s="101"/>
      <c r="S53" s="101"/>
    </row>
    <row r="54" spans="1:19" ht="15.75">
      <c r="A54" s="9" t="s">
        <v>41</v>
      </c>
      <c r="B54" s="10" t="s">
        <v>160</v>
      </c>
      <c r="C54" s="15">
        <v>20</v>
      </c>
      <c r="D54" s="198">
        <v>7</v>
      </c>
      <c r="E54" s="809">
        <v>0.6</v>
      </c>
      <c r="F54" s="198">
        <v>8</v>
      </c>
      <c r="G54" s="729">
        <f t="shared" si="6"/>
        <v>11.666666666666668</v>
      </c>
      <c r="H54" s="731">
        <v>2792.3</v>
      </c>
      <c r="I54" s="812">
        <v>14.4</v>
      </c>
      <c r="J54" s="178">
        <f t="shared" si="4"/>
        <v>2010.4560000000001</v>
      </c>
      <c r="K54" s="188">
        <f t="shared" si="5"/>
        <v>0.72</v>
      </c>
      <c r="L54" s="54"/>
      <c r="M54" s="54"/>
      <c r="O54" s="101"/>
      <c r="P54" s="101"/>
      <c r="Q54" s="101"/>
      <c r="R54" s="101"/>
      <c r="S54" s="101"/>
    </row>
    <row r="55" spans="1:19" ht="15.75">
      <c r="A55" s="9"/>
      <c r="B55" s="10" t="s">
        <v>160</v>
      </c>
      <c r="C55" s="15">
        <v>25</v>
      </c>
      <c r="D55" s="41">
        <v>7</v>
      </c>
      <c r="E55" s="42">
        <v>0.6</v>
      </c>
      <c r="F55" s="41">
        <v>8</v>
      </c>
      <c r="G55" s="188">
        <f t="shared" si="6"/>
        <v>11.666666666666668</v>
      </c>
      <c r="H55" s="731">
        <v>802</v>
      </c>
      <c r="I55" s="812">
        <v>17.9</v>
      </c>
      <c r="J55" s="178">
        <f t="shared" si="4"/>
        <v>574.232</v>
      </c>
      <c r="K55" s="188">
        <f t="shared" si="5"/>
        <v>0.716</v>
      </c>
      <c r="L55" s="54"/>
      <c r="M55" s="54"/>
      <c r="O55" s="101"/>
      <c r="P55" s="101"/>
      <c r="Q55" s="101"/>
      <c r="R55" s="101"/>
      <c r="S55" s="101"/>
    </row>
    <row r="56" spans="1:19" ht="15.75">
      <c r="A56" s="9"/>
      <c r="B56" s="10" t="s">
        <v>160</v>
      </c>
      <c r="C56" s="15">
        <v>30</v>
      </c>
      <c r="D56" s="41">
        <v>7</v>
      </c>
      <c r="E56" s="42">
        <v>0.6</v>
      </c>
      <c r="F56" s="41">
        <v>8</v>
      </c>
      <c r="G56" s="188">
        <f t="shared" si="6"/>
        <v>11.666666666666668</v>
      </c>
      <c r="H56" s="731">
        <v>557.5</v>
      </c>
      <c r="I56" s="812">
        <v>21.4</v>
      </c>
      <c r="J56" s="178">
        <f t="shared" si="4"/>
        <v>397.68333333333334</v>
      </c>
      <c r="K56" s="188">
        <f t="shared" si="5"/>
        <v>0.7133333333333333</v>
      </c>
      <c r="L56" s="54"/>
      <c r="M56" s="101"/>
      <c r="O56" s="101"/>
      <c r="P56" s="101"/>
      <c r="Q56" s="101"/>
      <c r="R56" s="101"/>
      <c r="S56" s="101"/>
    </row>
    <row r="57" spans="1:19" ht="15.75">
      <c r="A57" s="9" t="s">
        <v>41</v>
      </c>
      <c r="B57" s="10" t="s">
        <v>207</v>
      </c>
      <c r="C57" s="15">
        <v>20</v>
      </c>
      <c r="D57" s="41">
        <v>12</v>
      </c>
      <c r="E57" s="42">
        <v>1.1</v>
      </c>
      <c r="F57" s="41">
        <v>13</v>
      </c>
      <c r="G57" s="188">
        <f t="shared" si="6"/>
        <v>10.909090909090908</v>
      </c>
      <c r="H57" s="731">
        <v>6894.9</v>
      </c>
      <c r="I57" s="812">
        <v>14.4</v>
      </c>
      <c r="J57" s="178">
        <f t="shared" si="4"/>
        <v>4964.3279999999995</v>
      </c>
      <c r="K57" s="188">
        <f t="shared" si="5"/>
        <v>0.72</v>
      </c>
      <c r="L57" s="54"/>
      <c r="M57" s="101"/>
      <c r="O57" s="101"/>
      <c r="P57" s="101"/>
      <c r="Q57" s="101"/>
      <c r="R57" s="101"/>
      <c r="S57" s="101"/>
    </row>
    <row r="58" spans="1:19" ht="15.75">
      <c r="A58" s="9" t="s">
        <v>867</v>
      </c>
      <c r="B58" s="10" t="s">
        <v>210</v>
      </c>
      <c r="C58" s="15">
        <v>20</v>
      </c>
      <c r="D58" s="41">
        <v>12</v>
      </c>
      <c r="E58" s="42">
        <v>0.8</v>
      </c>
      <c r="F58" s="41">
        <v>15</v>
      </c>
      <c r="G58" s="188">
        <f t="shared" si="6"/>
        <v>15</v>
      </c>
      <c r="H58" s="731">
        <v>7304.6</v>
      </c>
      <c r="I58" s="812">
        <v>14.4</v>
      </c>
      <c r="J58" s="178">
        <f t="shared" si="4"/>
        <v>5259.312</v>
      </c>
      <c r="K58" s="188">
        <f t="shared" si="5"/>
        <v>0.72</v>
      </c>
      <c r="L58" s="54"/>
      <c r="M58" s="101"/>
      <c r="O58" s="101"/>
      <c r="P58" s="101"/>
      <c r="Q58" s="101"/>
      <c r="R58" s="101"/>
      <c r="S58" s="101"/>
    </row>
    <row r="59" spans="1:19" ht="15.75">
      <c r="A59" s="9"/>
      <c r="B59" s="10" t="s">
        <v>209</v>
      </c>
      <c r="C59" s="15">
        <v>20</v>
      </c>
      <c r="D59" s="41">
        <v>14</v>
      </c>
      <c r="E59" s="42">
        <v>1.2</v>
      </c>
      <c r="F59" s="41">
        <v>17</v>
      </c>
      <c r="G59" s="188">
        <f t="shared" si="6"/>
        <v>11.666666666666668</v>
      </c>
      <c r="H59" s="1079">
        <v>23876.7</v>
      </c>
      <c r="I59" s="812">
        <v>14.4</v>
      </c>
      <c r="J59" s="178">
        <f t="shared" si="4"/>
        <v>17191.224000000002</v>
      </c>
      <c r="K59" s="188">
        <f t="shared" si="5"/>
        <v>0.72</v>
      </c>
      <c r="L59" s="54"/>
      <c r="M59" s="101"/>
      <c r="O59" s="101"/>
      <c r="P59" s="101"/>
      <c r="Q59" s="101"/>
      <c r="R59" s="101"/>
      <c r="S59" s="101"/>
    </row>
    <row r="60" spans="1:19" ht="13.5">
      <c r="A60" s="37" t="s">
        <v>43</v>
      </c>
      <c r="B60" s="6"/>
      <c r="C60" s="7"/>
      <c r="D60" s="627"/>
      <c r="E60" s="180"/>
      <c r="F60" s="182"/>
      <c r="G60" s="180"/>
      <c r="H60" s="1084" t="s">
        <v>555</v>
      </c>
      <c r="I60" s="560">
        <f>SUM(H61:H63)</f>
        <v>842.8999999999999</v>
      </c>
      <c r="J60" s="182"/>
      <c r="K60" s="182"/>
      <c r="L60" s="54"/>
      <c r="M60" s="101"/>
      <c r="O60" s="101"/>
      <c r="P60" s="101"/>
      <c r="Q60" s="101"/>
      <c r="R60" s="101"/>
      <c r="S60" s="101"/>
    </row>
    <row r="61" spans="1:19" ht="13.5">
      <c r="A61" s="34"/>
      <c r="B61" s="10" t="s">
        <v>190</v>
      </c>
      <c r="C61" s="19">
        <v>20</v>
      </c>
      <c r="D61" s="468">
        <v>8</v>
      </c>
      <c r="E61" s="660">
        <v>0.7</v>
      </c>
      <c r="F61" s="468">
        <v>11</v>
      </c>
      <c r="G61" s="660">
        <f>D61/E61</f>
        <v>11.428571428571429</v>
      </c>
      <c r="H61" s="201">
        <v>151.3</v>
      </c>
      <c r="I61" s="812">
        <v>16.4</v>
      </c>
      <c r="J61" s="178">
        <f>H61*I61/C61</f>
        <v>124.066</v>
      </c>
      <c r="K61" s="188">
        <f>I61/C61</f>
        <v>0.82</v>
      </c>
      <c r="L61" s="54"/>
      <c r="M61" s="101"/>
      <c r="O61" s="101"/>
      <c r="P61" s="101"/>
      <c r="Q61" s="101"/>
      <c r="R61" s="101"/>
      <c r="S61" s="101"/>
    </row>
    <row r="62" spans="1:19" ht="13.5">
      <c r="A62" s="34"/>
      <c r="B62" s="10" t="s">
        <v>191</v>
      </c>
      <c r="C62" s="19">
        <v>20</v>
      </c>
      <c r="D62" s="468">
        <v>1</v>
      </c>
      <c r="E62" s="660">
        <v>0.1</v>
      </c>
      <c r="F62" s="468">
        <v>2</v>
      </c>
      <c r="G62" s="660">
        <f>D62/E62</f>
        <v>10</v>
      </c>
      <c r="H62" s="201">
        <v>685.8</v>
      </c>
      <c r="I62" s="812">
        <v>16.4</v>
      </c>
      <c r="J62" s="178">
        <f>H62*I62/C62</f>
        <v>562.356</v>
      </c>
      <c r="K62" s="188">
        <f>I62/C62</f>
        <v>0.82</v>
      </c>
      <c r="L62" s="54"/>
      <c r="M62" s="54"/>
      <c r="O62" s="101"/>
      <c r="P62" s="101"/>
      <c r="Q62" s="101"/>
      <c r="R62" s="101"/>
      <c r="S62" s="101"/>
    </row>
    <row r="63" spans="1:19" ht="13.5">
      <c r="A63" s="34"/>
      <c r="B63" s="10" t="s">
        <v>192</v>
      </c>
      <c r="C63" s="19">
        <v>20</v>
      </c>
      <c r="D63" s="468">
        <v>5</v>
      </c>
      <c r="E63" s="660">
        <v>0.5</v>
      </c>
      <c r="F63" s="468">
        <v>6</v>
      </c>
      <c r="G63" s="660">
        <f>D63/E63</f>
        <v>10</v>
      </c>
      <c r="H63" s="594">
        <v>5.8</v>
      </c>
      <c r="I63" s="812">
        <v>16.4</v>
      </c>
      <c r="J63" s="178">
        <f>H63*I63/C63</f>
        <v>4.755999999999999</v>
      </c>
      <c r="K63" s="188">
        <f>I63/C63</f>
        <v>0.82</v>
      </c>
      <c r="L63" s="54"/>
      <c r="M63" s="54"/>
      <c r="O63" s="101"/>
      <c r="P63" s="101"/>
      <c r="Q63" s="101"/>
      <c r="R63" s="101"/>
      <c r="S63" s="101"/>
    </row>
    <row r="64" spans="1:13" ht="13.5">
      <c r="A64" s="37" t="s">
        <v>44</v>
      </c>
      <c r="B64" s="6"/>
      <c r="C64" s="7"/>
      <c r="D64" s="181"/>
      <c r="E64" s="180"/>
      <c r="F64" s="181"/>
      <c r="G64" s="180"/>
      <c r="H64" s="1124" t="s">
        <v>44</v>
      </c>
      <c r="I64" s="560">
        <f>SUM(H65:H70)</f>
        <v>2765.2</v>
      </c>
      <c r="J64" s="182"/>
      <c r="K64" s="182"/>
      <c r="L64" s="54"/>
      <c r="M64" s="54"/>
    </row>
    <row r="65" spans="1:13" ht="13.5">
      <c r="A65" s="34"/>
      <c r="B65" s="10" t="s">
        <v>193</v>
      </c>
      <c r="C65" s="15">
        <v>20</v>
      </c>
      <c r="D65" s="468">
        <v>11</v>
      </c>
      <c r="E65" s="660">
        <v>0.9</v>
      </c>
      <c r="F65" s="468">
        <v>12</v>
      </c>
      <c r="G65" s="660">
        <f>D65/E65</f>
        <v>12.222222222222221</v>
      </c>
      <c r="H65" s="201">
        <v>2037.1</v>
      </c>
      <c r="I65" s="812">
        <v>16.2</v>
      </c>
      <c r="J65" s="178">
        <f>H65*I65/C65</f>
        <v>1650.051</v>
      </c>
      <c r="K65" s="188">
        <f>I65/C65</f>
        <v>0.8099999999999999</v>
      </c>
      <c r="L65" s="54"/>
      <c r="M65" s="54"/>
    </row>
    <row r="66" spans="1:13" ht="13.5">
      <c r="A66" s="34"/>
      <c r="B66" s="10" t="s">
        <v>194</v>
      </c>
      <c r="C66" s="15">
        <v>20</v>
      </c>
      <c r="D66" s="468">
        <v>11</v>
      </c>
      <c r="E66" s="660">
        <v>0.9</v>
      </c>
      <c r="F66" s="468">
        <v>12</v>
      </c>
      <c r="G66" s="660">
        <f>D66/E66</f>
        <v>12.222222222222221</v>
      </c>
      <c r="H66" s="732">
        <v>136.9</v>
      </c>
      <c r="I66" s="812">
        <v>16.2</v>
      </c>
      <c r="J66" s="178">
        <f>H66*I66/C66</f>
        <v>110.88900000000001</v>
      </c>
      <c r="K66" s="188">
        <f>I66/C66</f>
        <v>0.8099999999999999</v>
      </c>
      <c r="L66" s="54"/>
      <c r="M66" s="54"/>
    </row>
    <row r="67" spans="1:13" ht="13.5">
      <c r="A67" s="34"/>
      <c r="B67" s="10" t="s">
        <v>861</v>
      </c>
      <c r="C67" s="15">
        <v>20</v>
      </c>
      <c r="D67" s="468">
        <v>7</v>
      </c>
      <c r="E67" s="660">
        <v>0.5</v>
      </c>
      <c r="F67" s="468">
        <v>8</v>
      </c>
      <c r="G67" s="660">
        <f>D67/E67</f>
        <v>14</v>
      </c>
      <c r="H67" s="201">
        <f>566.2+25</f>
        <v>591.2</v>
      </c>
      <c r="I67" s="812">
        <v>16.2</v>
      </c>
      <c r="J67" s="178">
        <f>H67*I67/C67</f>
        <v>478.872</v>
      </c>
      <c r="K67" s="188">
        <f>I67/C67</f>
        <v>0.8099999999999999</v>
      </c>
      <c r="L67" s="54"/>
      <c r="M67" s="54"/>
    </row>
    <row r="68" spans="1:13" ht="15.75">
      <c r="A68" s="1118" t="s">
        <v>116</v>
      </c>
      <c r="B68" s="636"/>
      <c r="C68" s="636"/>
      <c r="D68" s="184"/>
      <c r="E68" s="184"/>
      <c r="F68" s="185"/>
      <c r="G68" s="186"/>
      <c r="H68" s="681"/>
      <c r="I68" s="1"/>
      <c r="J68" s="185"/>
      <c r="K68" s="185"/>
      <c r="L68" s="54"/>
      <c r="M68" s="101"/>
    </row>
    <row r="69" spans="1:13" ht="12.75">
      <c r="A69" s="46" t="s">
        <v>23</v>
      </c>
      <c r="B69" s="10" t="s">
        <v>24</v>
      </c>
      <c r="C69" s="7" t="s">
        <v>25</v>
      </c>
      <c r="D69" s="8" t="s">
        <v>29</v>
      </c>
      <c r="E69" s="8" t="s">
        <v>30</v>
      </c>
      <c r="F69" s="8" t="s">
        <v>31</v>
      </c>
      <c r="G69" s="8" t="s">
        <v>32</v>
      </c>
      <c r="H69" s="199" t="s">
        <v>140</v>
      </c>
      <c r="I69" s="211" t="s">
        <v>414</v>
      </c>
      <c r="J69" s="745" t="s">
        <v>170</v>
      </c>
      <c r="K69" s="750" t="s">
        <v>644</v>
      </c>
      <c r="L69" s="54"/>
      <c r="M69" s="101"/>
    </row>
    <row r="70" spans="1:13" ht="15.75">
      <c r="A70" s="47"/>
      <c r="B70" s="21" t="s">
        <v>27</v>
      </c>
      <c r="C70" s="11" t="s">
        <v>28</v>
      </c>
      <c r="D70" s="12" t="s">
        <v>114</v>
      </c>
      <c r="E70" s="13" t="s">
        <v>114</v>
      </c>
      <c r="F70" s="13" t="s">
        <v>114</v>
      </c>
      <c r="G70" s="14" t="s">
        <v>33</v>
      </c>
      <c r="H70" s="200" t="s">
        <v>690</v>
      </c>
      <c r="I70" s="1157" t="s">
        <v>701</v>
      </c>
      <c r="J70" s="601" t="s">
        <v>690</v>
      </c>
      <c r="K70" s="601" t="s">
        <v>690</v>
      </c>
      <c r="L70" s="54"/>
      <c r="M70" s="101"/>
    </row>
    <row r="71" spans="1:19" ht="13.5">
      <c r="A71" s="37" t="s">
        <v>46</v>
      </c>
      <c r="B71" s="6"/>
      <c r="C71" s="7"/>
      <c r="D71" s="1"/>
      <c r="E71" s="180"/>
      <c r="F71" s="181"/>
      <c r="G71" s="181"/>
      <c r="H71" s="1080" t="s">
        <v>46</v>
      </c>
      <c r="I71" s="433">
        <f>SUM(H72:H95)</f>
        <v>467737.30000000005</v>
      </c>
      <c r="J71" s="630"/>
      <c r="K71" s="630"/>
      <c r="L71" s="54"/>
      <c r="M71" s="54"/>
      <c r="O71" s="101"/>
      <c r="P71" s="101"/>
      <c r="Q71" s="101"/>
      <c r="R71" s="101"/>
      <c r="S71" s="101"/>
    </row>
    <row r="72" spans="1:19" ht="13.5">
      <c r="A72" s="34"/>
      <c r="B72" s="10" t="s">
        <v>183</v>
      </c>
      <c r="C72" s="15">
        <v>20</v>
      </c>
      <c r="D72" s="193">
        <v>9</v>
      </c>
      <c r="E72" s="660">
        <v>0.8</v>
      </c>
      <c r="F72" s="193">
        <v>10</v>
      </c>
      <c r="G72" s="660">
        <f aca="true" t="shared" si="7" ref="G72:G82">D72/E72</f>
        <v>11.25</v>
      </c>
      <c r="H72" s="201">
        <v>17536.5</v>
      </c>
      <c r="I72" s="812">
        <v>14.5</v>
      </c>
      <c r="J72" s="178">
        <f aca="true" t="shared" si="8" ref="J72:J79">H72*I72/C72</f>
        <v>12713.9625</v>
      </c>
      <c r="K72" s="188">
        <f aca="true" t="shared" si="9" ref="K72:K95">I72/C72</f>
        <v>0.725</v>
      </c>
      <c r="L72" s="54"/>
      <c r="M72" s="54"/>
      <c r="N72" s="101"/>
      <c r="O72" s="101"/>
      <c r="P72" s="101"/>
      <c r="Q72" s="101"/>
      <c r="R72" s="101"/>
      <c r="S72" s="101"/>
    </row>
    <row r="73" spans="1:19" ht="13.5">
      <c r="A73" s="34"/>
      <c r="B73" s="10" t="s">
        <v>183</v>
      </c>
      <c r="C73" s="15">
        <v>25</v>
      </c>
      <c r="D73" s="91">
        <v>9</v>
      </c>
      <c r="E73" s="177">
        <v>0.8</v>
      </c>
      <c r="F73" s="91">
        <v>10</v>
      </c>
      <c r="G73" s="177">
        <f t="shared" si="7"/>
        <v>11.25</v>
      </c>
      <c r="H73" s="201">
        <v>5415</v>
      </c>
      <c r="I73" s="812">
        <v>18.2</v>
      </c>
      <c r="J73" s="178">
        <f t="shared" si="8"/>
        <v>3942.12</v>
      </c>
      <c r="K73" s="188">
        <f t="shared" si="9"/>
        <v>0.728</v>
      </c>
      <c r="L73" s="54"/>
      <c r="M73" s="54"/>
      <c r="O73" s="101"/>
      <c r="P73" s="101"/>
      <c r="Q73" s="101"/>
      <c r="R73" s="101"/>
      <c r="S73" s="101"/>
    </row>
    <row r="74" spans="1:19" ht="13.5">
      <c r="A74" s="34"/>
      <c r="B74" s="10" t="s">
        <v>183</v>
      </c>
      <c r="C74" s="15">
        <v>30</v>
      </c>
      <c r="D74" s="91">
        <v>9</v>
      </c>
      <c r="E74" s="177">
        <v>0.8</v>
      </c>
      <c r="F74" s="91">
        <v>10</v>
      </c>
      <c r="G74" s="177">
        <f t="shared" si="7"/>
        <v>11.25</v>
      </c>
      <c r="H74" s="201">
        <v>1761.6</v>
      </c>
      <c r="I74" s="812">
        <v>20.3</v>
      </c>
      <c r="J74" s="178">
        <f t="shared" si="8"/>
        <v>1192.0159999999998</v>
      </c>
      <c r="K74" s="188">
        <f t="shared" si="9"/>
        <v>0.6766666666666666</v>
      </c>
      <c r="L74" s="54"/>
      <c r="M74" s="54"/>
      <c r="O74" s="101"/>
      <c r="P74" s="101"/>
      <c r="Q74" s="101"/>
      <c r="R74" s="101"/>
      <c r="S74" s="101"/>
    </row>
    <row r="75" spans="1:19" ht="13.5">
      <c r="A75" s="34"/>
      <c r="B75" s="10" t="s">
        <v>188</v>
      </c>
      <c r="C75" s="15">
        <v>20</v>
      </c>
      <c r="D75" s="468">
        <v>12</v>
      </c>
      <c r="E75" s="660">
        <v>1.1</v>
      </c>
      <c r="F75" s="468">
        <v>14</v>
      </c>
      <c r="G75" s="660">
        <f t="shared" si="7"/>
        <v>10.909090909090908</v>
      </c>
      <c r="H75" s="201">
        <v>62696.3</v>
      </c>
      <c r="I75" s="812">
        <v>14.5</v>
      </c>
      <c r="J75" s="178">
        <f t="shared" si="8"/>
        <v>45454.817500000005</v>
      </c>
      <c r="K75" s="188">
        <f t="shared" si="9"/>
        <v>0.725</v>
      </c>
      <c r="L75" s="54"/>
      <c r="M75" s="54"/>
      <c r="N75" s="101"/>
      <c r="O75" s="101"/>
      <c r="P75" s="101"/>
      <c r="Q75" s="101"/>
      <c r="R75" s="101"/>
      <c r="S75" s="101"/>
    </row>
    <row r="76" spans="1:19" ht="13.5">
      <c r="A76" s="34"/>
      <c r="B76" s="10" t="s">
        <v>437</v>
      </c>
      <c r="C76" s="15">
        <v>25</v>
      </c>
      <c r="D76" s="178">
        <v>12</v>
      </c>
      <c r="E76" s="177">
        <v>1.1</v>
      </c>
      <c r="F76" s="178">
        <v>14</v>
      </c>
      <c r="G76" s="177">
        <f t="shared" si="7"/>
        <v>10.909090909090908</v>
      </c>
      <c r="H76" s="201">
        <v>24650.9</v>
      </c>
      <c r="I76" s="812">
        <v>18.2</v>
      </c>
      <c r="J76" s="178">
        <f t="shared" si="8"/>
        <v>17945.8552</v>
      </c>
      <c r="K76" s="188">
        <f t="shared" si="9"/>
        <v>0.728</v>
      </c>
      <c r="L76" s="54"/>
      <c r="M76" s="54"/>
      <c r="O76" s="101"/>
      <c r="P76" s="101"/>
      <c r="Q76" s="101"/>
      <c r="R76" s="101"/>
      <c r="S76" s="101"/>
    </row>
    <row r="77" spans="1:19" ht="13.5">
      <c r="A77" s="34"/>
      <c r="B77" s="10" t="s">
        <v>438</v>
      </c>
      <c r="C77" s="15">
        <v>50</v>
      </c>
      <c r="D77" s="178">
        <v>12</v>
      </c>
      <c r="E77" s="177">
        <v>1.1</v>
      </c>
      <c r="F77" s="178">
        <v>14</v>
      </c>
      <c r="G77" s="177">
        <f t="shared" si="7"/>
        <v>10.909090909090908</v>
      </c>
      <c r="H77" s="201">
        <v>5385.9</v>
      </c>
      <c r="I77" s="812">
        <v>35.9</v>
      </c>
      <c r="J77" s="178">
        <f t="shared" si="8"/>
        <v>3867.0761999999995</v>
      </c>
      <c r="K77" s="188">
        <f t="shared" si="9"/>
        <v>0.718</v>
      </c>
      <c r="L77" s="54"/>
      <c r="M77" s="54"/>
      <c r="O77" s="101"/>
      <c r="P77" s="101"/>
      <c r="Q77" s="101"/>
      <c r="R77" s="101"/>
      <c r="S77" s="101"/>
    </row>
    <row r="78" spans="1:19" ht="13.5">
      <c r="A78" s="34"/>
      <c r="B78" s="10" t="s">
        <v>188</v>
      </c>
      <c r="C78" s="15">
        <v>30</v>
      </c>
      <c r="D78" s="178">
        <v>12</v>
      </c>
      <c r="E78" s="177">
        <v>1.1</v>
      </c>
      <c r="F78" s="178">
        <v>14</v>
      </c>
      <c r="G78" s="177">
        <f t="shared" si="7"/>
        <v>10.909090909090908</v>
      </c>
      <c r="H78" s="201">
        <v>13119.7</v>
      </c>
      <c r="I78" s="812">
        <v>21.8</v>
      </c>
      <c r="J78" s="178">
        <f t="shared" si="8"/>
        <v>9533.648666666668</v>
      </c>
      <c r="K78" s="188">
        <f t="shared" si="9"/>
        <v>0.7266666666666667</v>
      </c>
      <c r="L78" s="54"/>
      <c r="M78" s="54"/>
      <c r="O78" s="101"/>
      <c r="P78" s="101"/>
      <c r="Q78" s="101"/>
      <c r="R78" s="101"/>
      <c r="S78" s="101"/>
    </row>
    <row r="79" spans="1:19" ht="12.75">
      <c r="A79" s="1108"/>
      <c r="B79" s="10" t="s">
        <v>195</v>
      </c>
      <c r="C79" s="733">
        <v>20</v>
      </c>
      <c r="D79" s="468">
        <v>13</v>
      </c>
      <c r="E79" s="660">
        <v>0.8</v>
      </c>
      <c r="F79" s="468">
        <v>16</v>
      </c>
      <c r="G79" s="660">
        <f t="shared" si="7"/>
        <v>16.25</v>
      </c>
      <c r="H79" s="201">
        <v>14286.4</v>
      </c>
      <c r="I79" s="812">
        <v>14.5</v>
      </c>
      <c r="J79" s="178">
        <f t="shared" si="8"/>
        <v>10357.64</v>
      </c>
      <c r="K79" s="188">
        <f t="shared" si="9"/>
        <v>0.725</v>
      </c>
      <c r="L79" s="54"/>
      <c r="M79" s="54"/>
      <c r="O79" s="101"/>
      <c r="P79" s="101"/>
      <c r="Q79" s="101"/>
      <c r="R79" s="101"/>
      <c r="S79" s="101"/>
    </row>
    <row r="80" spans="1:19" ht="13.5">
      <c r="A80" s="34"/>
      <c r="B80" s="10" t="s">
        <v>439</v>
      </c>
      <c r="C80" s="15">
        <v>25</v>
      </c>
      <c r="D80" s="178">
        <v>13</v>
      </c>
      <c r="E80" s="177">
        <v>0.8</v>
      </c>
      <c r="F80" s="178">
        <v>16</v>
      </c>
      <c r="G80" s="177">
        <f t="shared" si="7"/>
        <v>16.25</v>
      </c>
      <c r="H80" s="201">
        <v>5783.3</v>
      </c>
      <c r="I80" s="812">
        <v>18.2</v>
      </c>
      <c r="J80" s="178">
        <f aca="true" t="shared" si="10" ref="J80:J85">H80*I80/C80</f>
        <v>4210.2424</v>
      </c>
      <c r="K80" s="188">
        <f t="shared" si="9"/>
        <v>0.728</v>
      </c>
      <c r="L80" s="54"/>
      <c r="M80" s="54"/>
      <c r="O80" s="101"/>
      <c r="P80" s="101"/>
      <c r="Q80" s="101"/>
      <c r="R80" s="101"/>
      <c r="S80" s="101"/>
    </row>
    <row r="81" spans="1:19" ht="13.5">
      <c r="A81" s="34"/>
      <c r="B81" s="10" t="s">
        <v>550</v>
      </c>
      <c r="C81" s="15">
        <v>50</v>
      </c>
      <c r="D81" s="178">
        <v>13</v>
      </c>
      <c r="E81" s="177">
        <v>0.8</v>
      </c>
      <c r="F81" s="178">
        <v>16</v>
      </c>
      <c r="G81" s="177">
        <f t="shared" si="7"/>
        <v>16.25</v>
      </c>
      <c r="H81" s="201">
        <v>1249.1</v>
      </c>
      <c r="I81" s="812">
        <v>35.9</v>
      </c>
      <c r="J81" s="178">
        <f t="shared" si="10"/>
        <v>896.8537999999999</v>
      </c>
      <c r="K81" s="188">
        <f t="shared" si="9"/>
        <v>0.718</v>
      </c>
      <c r="L81" s="54"/>
      <c r="M81" s="54"/>
      <c r="O81" s="101"/>
      <c r="P81" s="101"/>
      <c r="Q81" s="101"/>
      <c r="R81" s="101"/>
      <c r="S81" s="101"/>
    </row>
    <row r="82" spans="1:19" ht="13.5">
      <c r="A82" s="34"/>
      <c r="B82" s="10" t="s">
        <v>196</v>
      </c>
      <c r="C82" s="15">
        <v>30</v>
      </c>
      <c r="D82" s="178">
        <v>12</v>
      </c>
      <c r="E82" s="177">
        <v>0.8</v>
      </c>
      <c r="F82" s="178">
        <v>16</v>
      </c>
      <c r="G82" s="177">
        <f t="shared" si="7"/>
        <v>15</v>
      </c>
      <c r="H82" s="201">
        <v>2406</v>
      </c>
      <c r="I82" s="812">
        <v>21.8</v>
      </c>
      <c r="J82" s="178">
        <f t="shared" si="10"/>
        <v>1748.3600000000001</v>
      </c>
      <c r="K82" s="188">
        <f t="shared" si="9"/>
        <v>0.7266666666666667</v>
      </c>
      <c r="L82" s="54"/>
      <c r="M82" s="54"/>
      <c r="O82" s="101"/>
      <c r="P82" s="101"/>
      <c r="Q82" s="101"/>
      <c r="R82" s="101"/>
      <c r="S82" s="101"/>
    </row>
    <row r="83" spans="1:19" ht="13.5">
      <c r="A83" s="34"/>
      <c r="B83" s="10" t="s">
        <v>197</v>
      </c>
      <c r="C83" s="15">
        <v>20</v>
      </c>
      <c r="D83" s="468">
        <v>5</v>
      </c>
      <c r="E83" s="660">
        <v>0.5</v>
      </c>
      <c r="F83" s="468">
        <v>8</v>
      </c>
      <c r="G83" s="660">
        <f>SUM(D83/E83)</f>
        <v>10</v>
      </c>
      <c r="H83" s="201">
        <v>129.8</v>
      </c>
      <c r="I83" s="812">
        <v>14.5</v>
      </c>
      <c r="J83" s="178">
        <f t="shared" si="10"/>
        <v>94.105</v>
      </c>
      <c r="K83" s="188">
        <f t="shared" si="9"/>
        <v>0.725</v>
      </c>
      <c r="L83" s="54"/>
      <c r="M83" s="101"/>
      <c r="O83" s="101"/>
      <c r="P83" s="101"/>
      <c r="Q83" s="101"/>
      <c r="R83" s="101"/>
      <c r="S83" s="101"/>
    </row>
    <row r="84" spans="1:19" ht="13.5">
      <c r="A84" s="34"/>
      <c r="B84" s="10" t="s">
        <v>440</v>
      </c>
      <c r="C84" s="19">
        <v>20</v>
      </c>
      <c r="D84" s="468">
        <v>13</v>
      </c>
      <c r="E84" s="660">
        <v>1.1</v>
      </c>
      <c r="F84" s="468">
        <v>15</v>
      </c>
      <c r="G84" s="660">
        <f aca="true" t="shared" si="11" ref="G84:G95">D84/E84</f>
        <v>11.818181818181817</v>
      </c>
      <c r="H84" s="201">
        <v>146164.9</v>
      </c>
      <c r="I84" s="812">
        <v>13.8</v>
      </c>
      <c r="J84" s="178">
        <f t="shared" si="10"/>
        <v>100853.781</v>
      </c>
      <c r="K84" s="188">
        <f t="shared" si="9"/>
        <v>0.6900000000000001</v>
      </c>
      <c r="L84" s="54"/>
      <c r="M84" s="101"/>
      <c r="N84" s="101"/>
      <c r="O84" s="101"/>
      <c r="P84" s="101"/>
      <c r="Q84" s="101"/>
      <c r="R84" s="101"/>
      <c r="S84" s="101"/>
    </row>
    <row r="85" spans="1:19" ht="13.5">
      <c r="A85" s="34"/>
      <c r="B85" s="10" t="s">
        <v>440</v>
      </c>
      <c r="C85" s="19">
        <v>25</v>
      </c>
      <c r="D85" s="178">
        <v>13</v>
      </c>
      <c r="E85" s="177">
        <v>1.1</v>
      </c>
      <c r="F85" s="178">
        <v>15</v>
      </c>
      <c r="G85" s="177">
        <f t="shared" si="11"/>
        <v>11.818181818181817</v>
      </c>
      <c r="H85" s="201">
        <v>20454.2</v>
      </c>
      <c r="I85" s="812">
        <v>17.3</v>
      </c>
      <c r="J85" s="178">
        <f t="shared" si="10"/>
        <v>14154.306400000001</v>
      </c>
      <c r="K85" s="188">
        <f t="shared" si="9"/>
        <v>0.6920000000000001</v>
      </c>
      <c r="L85" s="54"/>
      <c r="M85" s="54"/>
      <c r="O85" s="101"/>
      <c r="P85" s="101"/>
      <c r="Q85" s="101"/>
      <c r="R85" s="101"/>
      <c r="S85" s="101"/>
    </row>
    <row r="86" spans="1:19" ht="13.5">
      <c r="A86" s="34"/>
      <c r="B86" s="10" t="s">
        <v>440</v>
      </c>
      <c r="C86" s="19">
        <v>30</v>
      </c>
      <c r="D86" s="178">
        <v>13</v>
      </c>
      <c r="E86" s="177">
        <v>1.1</v>
      </c>
      <c r="F86" s="178">
        <v>15</v>
      </c>
      <c r="G86" s="177">
        <f t="shared" si="11"/>
        <v>11.818181818181817</v>
      </c>
      <c r="H86" s="201">
        <v>52263.1</v>
      </c>
      <c r="I86" s="812">
        <v>20.7</v>
      </c>
      <c r="J86" s="178">
        <f aca="true" t="shared" si="12" ref="J86:J95">H86*I86/C86</f>
        <v>36061.539</v>
      </c>
      <c r="K86" s="188">
        <f t="shared" si="9"/>
        <v>0.69</v>
      </c>
      <c r="L86" s="54"/>
      <c r="M86" s="54"/>
      <c r="O86" s="101"/>
      <c r="P86" s="101"/>
      <c r="Q86" s="101"/>
      <c r="R86" s="101"/>
      <c r="S86" s="101"/>
    </row>
    <row r="87" spans="1:19" ht="13.5">
      <c r="A87" s="34"/>
      <c r="B87" s="10" t="s">
        <v>440</v>
      </c>
      <c r="C87" s="19">
        <v>40</v>
      </c>
      <c r="D87" s="178">
        <v>13</v>
      </c>
      <c r="E87" s="177">
        <v>1.1</v>
      </c>
      <c r="F87" s="178">
        <v>15</v>
      </c>
      <c r="G87" s="177">
        <f t="shared" si="11"/>
        <v>11.818181818181817</v>
      </c>
      <c r="H87" s="201">
        <v>44</v>
      </c>
      <c r="I87" s="812">
        <v>29</v>
      </c>
      <c r="J87" s="178">
        <f t="shared" si="12"/>
        <v>31.9</v>
      </c>
      <c r="K87" s="188">
        <f t="shared" si="9"/>
        <v>0.725</v>
      </c>
      <c r="L87" s="54"/>
      <c r="M87" s="54"/>
      <c r="O87" s="101"/>
      <c r="P87" s="101"/>
      <c r="Q87" s="101"/>
      <c r="R87" s="101"/>
      <c r="S87" s="101"/>
    </row>
    <row r="88" spans="1:19" ht="13.5">
      <c r="A88" s="34"/>
      <c r="B88" s="10" t="s">
        <v>441</v>
      </c>
      <c r="C88" s="19">
        <v>20</v>
      </c>
      <c r="D88" s="468">
        <v>9</v>
      </c>
      <c r="E88" s="660">
        <v>0.9</v>
      </c>
      <c r="F88" s="468">
        <v>11</v>
      </c>
      <c r="G88" s="660">
        <f t="shared" si="11"/>
        <v>10</v>
      </c>
      <c r="H88" s="201">
        <v>32091.9</v>
      </c>
      <c r="I88" s="812">
        <v>13.8</v>
      </c>
      <c r="J88" s="178">
        <f t="shared" si="12"/>
        <v>22143.411</v>
      </c>
      <c r="K88" s="188">
        <f t="shared" si="9"/>
        <v>0.6900000000000001</v>
      </c>
      <c r="L88" s="54"/>
      <c r="M88" s="54"/>
      <c r="O88" s="101"/>
      <c r="P88" s="101"/>
      <c r="Q88" s="101"/>
      <c r="R88" s="101"/>
      <c r="S88" s="101"/>
    </row>
    <row r="89" spans="1:19" ht="13.5">
      <c r="A89" s="34"/>
      <c r="B89" s="10" t="s">
        <v>441</v>
      </c>
      <c r="C89" s="19">
        <v>25</v>
      </c>
      <c r="D89" s="468">
        <v>9</v>
      </c>
      <c r="E89" s="660">
        <v>0.9</v>
      </c>
      <c r="F89" s="468">
        <v>11</v>
      </c>
      <c r="G89" s="660">
        <f t="shared" si="11"/>
        <v>10</v>
      </c>
      <c r="H89" s="201">
        <v>4668.6</v>
      </c>
      <c r="I89" s="812">
        <v>17.3</v>
      </c>
      <c r="J89" s="178">
        <f t="shared" si="12"/>
        <v>3230.6712000000007</v>
      </c>
      <c r="K89" s="188">
        <f t="shared" si="9"/>
        <v>0.6920000000000001</v>
      </c>
      <c r="L89" s="54"/>
      <c r="M89" s="54"/>
      <c r="O89" s="101"/>
      <c r="P89" s="101"/>
      <c r="Q89" s="101"/>
      <c r="R89" s="101"/>
      <c r="S89" s="101"/>
    </row>
    <row r="90" spans="1:19" ht="13.5">
      <c r="A90" s="34"/>
      <c r="B90" s="10" t="s">
        <v>441</v>
      </c>
      <c r="C90" s="19">
        <v>30</v>
      </c>
      <c r="D90" s="178">
        <v>9</v>
      </c>
      <c r="E90" s="177">
        <v>0.9</v>
      </c>
      <c r="F90" s="178">
        <v>11</v>
      </c>
      <c r="G90" s="177">
        <f t="shared" si="11"/>
        <v>10</v>
      </c>
      <c r="H90" s="201">
        <v>11708.4</v>
      </c>
      <c r="I90" s="812">
        <v>20.7</v>
      </c>
      <c r="J90" s="178">
        <f t="shared" si="12"/>
        <v>8078.795999999999</v>
      </c>
      <c r="K90" s="188">
        <f t="shared" si="9"/>
        <v>0.69</v>
      </c>
      <c r="L90" s="54"/>
      <c r="M90" s="54"/>
      <c r="O90" s="101"/>
      <c r="P90" s="101"/>
      <c r="Q90" s="101"/>
      <c r="R90" s="101"/>
      <c r="S90" s="101"/>
    </row>
    <row r="91" spans="1:19" ht="13.5">
      <c r="A91" s="34"/>
      <c r="B91" s="10" t="s">
        <v>441</v>
      </c>
      <c r="C91" s="19">
        <v>40</v>
      </c>
      <c r="D91" s="178">
        <v>9</v>
      </c>
      <c r="E91" s="177">
        <v>0.9</v>
      </c>
      <c r="F91" s="178">
        <v>11</v>
      </c>
      <c r="G91" s="177">
        <f t="shared" si="11"/>
        <v>10</v>
      </c>
      <c r="H91" s="201">
        <v>40.4</v>
      </c>
      <c r="I91" s="812">
        <v>29</v>
      </c>
      <c r="J91" s="178">
        <f t="shared" si="12"/>
        <v>29.29</v>
      </c>
      <c r="K91" s="188">
        <f t="shared" si="9"/>
        <v>0.725</v>
      </c>
      <c r="L91" s="54"/>
      <c r="M91" s="54"/>
      <c r="O91" s="101"/>
      <c r="P91" s="101"/>
      <c r="Q91" s="101"/>
      <c r="R91" s="101"/>
      <c r="S91" s="101"/>
    </row>
    <row r="92" spans="1:19" ht="13.5">
      <c r="A92" s="34"/>
      <c r="B92" s="10" t="s">
        <v>442</v>
      </c>
      <c r="C92" s="19">
        <v>30</v>
      </c>
      <c r="D92" s="468">
        <v>13.08</v>
      </c>
      <c r="E92" s="660">
        <v>0.8</v>
      </c>
      <c r="F92" s="468">
        <v>16</v>
      </c>
      <c r="G92" s="660">
        <f t="shared" si="11"/>
        <v>16.349999999999998</v>
      </c>
      <c r="H92" s="201">
        <v>12901</v>
      </c>
      <c r="I92" s="812">
        <v>20.7</v>
      </c>
      <c r="J92" s="178">
        <f t="shared" si="12"/>
        <v>8901.69</v>
      </c>
      <c r="K92" s="188">
        <f t="shared" si="9"/>
        <v>0.69</v>
      </c>
      <c r="L92" s="54"/>
      <c r="M92" s="54"/>
      <c r="O92" s="101"/>
      <c r="P92" s="101"/>
      <c r="Q92" s="101"/>
      <c r="R92" s="101"/>
      <c r="S92" s="101"/>
    </row>
    <row r="93" spans="1:19" ht="13.5">
      <c r="A93" s="34"/>
      <c r="B93" s="10" t="s">
        <v>442</v>
      </c>
      <c r="C93" s="19">
        <v>20</v>
      </c>
      <c r="D93" s="178">
        <v>13</v>
      </c>
      <c r="E93" s="177">
        <v>0.8</v>
      </c>
      <c r="F93" s="178">
        <v>16</v>
      </c>
      <c r="G93" s="177">
        <f t="shared" si="11"/>
        <v>16.25</v>
      </c>
      <c r="H93" s="201">
        <v>28848</v>
      </c>
      <c r="I93" s="812">
        <v>13.8</v>
      </c>
      <c r="J93" s="178">
        <f t="shared" si="12"/>
        <v>19905.120000000003</v>
      </c>
      <c r="K93" s="188">
        <f t="shared" si="9"/>
        <v>0.6900000000000001</v>
      </c>
      <c r="L93" s="54"/>
      <c r="M93" s="54"/>
      <c r="O93" s="101"/>
      <c r="P93" s="101"/>
      <c r="Q93" s="101"/>
      <c r="R93" s="101"/>
      <c r="S93" s="101"/>
    </row>
    <row r="94" spans="1:19" ht="13.5">
      <c r="A94" s="34"/>
      <c r="B94" s="10" t="s">
        <v>442</v>
      </c>
      <c r="C94" s="19">
        <v>25</v>
      </c>
      <c r="D94" s="178">
        <v>13</v>
      </c>
      <c r="E94" s="177">
        <v>0.8</v>
      </c>
      <c r="F94" s="178">
        <v>16</v>
      </c>
      <c r="G94" s="177">
        <f t="shared" si="11"/>
        <v>16.25</v>
      </c>
      <c r="H94" s="201">
        <v>4091.9</v>
      </c>
      <c r="I94" s="812">
        <v>17.3</v>
      </c>
      <c r="J94" s="178">
        <f t="shared" si="12"/>
        <v>2831.5948000000003</v>
      </c>
      <c r="K94" s="188">
        <f t="shared" si="9"/>
        <v>0.6920000000000001</v>
      </c>
      <c r="L94" s="54"/>
      <c r="M94" s="54"/>
      <c r="O94" s="101"/>
      <c r="P94" s="101"/>
      <c r="Q94" s="101"/>
      <c r="R94" s="101"/>
      <c r="S94" s="101"/>
    </row>
    <row r="95" spans="1:19" ht="13.5">
      <c r="A95" s="34"/>
      <c r="B95" s="10" t="s">
        <v>442</v>
      </c>
      <c r="C95" s="19">
        <v>40</v>
      </c>
      <c r="D95" s="178">
        <v>13</v>
      </c>
      <c r="E95" s="177">
        <v>0.8</v>
      </c>
      <c r="F95" s="178">
        <v>16</v>
      </c>
      <c r="G95" s="177">
        <f t="shared" si="11"/>
        <v>16.25</v>
      </c>
      <c r="H95" s="201">
        <v>40.4</v>
      </c>
      <c r="I95" s="812">
        <v>29</v>
      </c>
      <c r="J95" s="178">
        <f t="shared" si="12"/>
        <v>29.29</v>
      </c>
      <c r="K95" s="188">
        <f t="shared" si="9"/>
        <v>0.725</v>
      </c>
      <c r="L95" s="54"/>
      <c r="M95" s="54"/>
      <c r="O95" s="101"/>
      <c r="P95" s="101"/>
      <c r="Q95" s="101"/>
      <c r="R95" s="101"/>
      <c r="S95" s="101"/>
    </row>
    <row r="96" spans="1:19" ht="13.5">
      <c r="A96" s="37" t="s">
        <v>6</v>
      </c>
      <c r="B96" s="6"/>
      <c r="C96" s="7"/>
      <c r="D96" s="181"/>
      <c r="E96" s="180"/>
      <c r="F96" s="181"/>
      <c r="G96" s="180"/>
      <c r="H96" s="203" t="s">
        <v>6</v>
      </c>
      <c r="I96" s="560">
        <f>SUM(H97:H98)</f>
        <v>57470</v>
      </c>
      <c r="J96" s="182"/>
      <c r="K96" s="182"/>
      <c r="L96" s="54"/>
      <c r="M96" s="54"/>
      <c r="O96" s="101"/>
      <c r="P96" s="101"/>
      <c r="Q96" s="101"/>
      <c r="R96" s="101"/>
      <c r="S96" s="101"/>
    </row>
    <row r="97" spans="1:19" ht="12.75">
      <c r="A97" s="1108"/>
      <c r="B97" s="10" t="s">
        <v>36</v>
      </c>
      <c r="C97" s="15">
        <v>20</v>
      </c>
      <c r="D97" s="468">
        <v>12</v>
      </c>
      <c r="E97" s="660">
        <v>1.1</v>
      </c>
      <c r="F97" s="468">
        <v>15</v>
      </c>
      <c r="G97" s="660">
        <f>D97/E97</f>
        <v>10.909090909090908</v>
      </c>
      <c r="H97" s="201">
        <v>26884</v>
      </c>
      <c r="I97" s="812">
        <v>16.5</v>
      </c>
      <c r="J97" s="178">
        <f aca="true" t="shared" si="13" ref="J97:J113">H97*I97/C97</f>
        <v>22179.3</v>
      </c>
      <c r="K97" s="188">
        <f aca="true" t="shared" si="14" ref="K97:K113">I97/C97</f>
        <v>0.825</v>
      </c>
      <c r="L97" s="54"/>
      <c r="M97" s="54"/>
      <c r="O97" s="101"/>
      <c r="P97" s="101"/>
      <c r="Q97" s="101"/>
      <c r="R97" s="101"/>
      <c r="S97" s="101"/>
    </row>
    <row r="98" spans="1:19" ht="13.5">
      <c r="A98" s="28"/>
      <c r="B98" s="21" t="s">
        <v>36</v>
      </c>
      <c r="C98" s="11">
        <v>25</v>
      </c>
      <c r="D98" s="178">
        <v>12</v>
      </c>
      <c r="E98" s="177">
        <v>1.1</v>
      </c>
      <c r="F98" s="178">
        <v>15</v>
      </c>
      <c r="G98" s="177">
        <f>D98/E98</f>
        <v>10.909090909090908</v>
      </c>
      <c r="H98" s="594">
        <v>30586</v>
      </c>
      <c r="I98" s="812">
        <v>20</v>
      </c>
      <c r="J98" s="178">
        <f t="shared" si="13"/>
        <v>24468.8</v>
      </c>
      <c r="K98" s="188">
        <f t="shared" si="14"/>
        <v>0.8</v>
      </c>
      <c r="L98" s="54"/>
      <c r="M98" s="54"/>
      <c r="O98" s="101"/>
      <c r="P98" s="101"/>
      <c r="Q98" s="101"/>
      <c r="R98" s="101"/>
      <c r="S98" s="101"/>
    </row>
    <row r="99" spans="1:19" ht="13.5">
      <c r="A99" s="34"/>
      <c r="B99" s="10"/>
      <c r="C99" s="19"/>
      <c r="D99" s="182"/>
      <c r="E99" s="180"/>
      <c r="F99" s="182"/>
      <c r="G99" s="1160"/>
      <c r="H99" s="201" t="s">
        <v>198</v>
      </c>
      <c r="I99" s="560">
        <f>SUM(H100:H101)</f>
        <v>123.1</v>
      </c>
      <c r="J99" s="182"/>
      <c r="K99" s="182"/>
      <c r="L99" s="54"/>
      <c r="M99" s="54"/>
      <c r="O99" s="101"/>
      <c r="P99" s="101"/>
      <c r="Q99" s="101"/>
      <c r="R99" s="101"/>
      <c r="S99" s="101"/>
    </row>
    <row r="100" spans="1:19" ht="13.5">
      <c r="A100" s="34" t="s">
        <v>198</v>
      </c>
      <c r="B100" s="10" t="s">
        <v>443</v>
      </c>
      <c r="C100" s="19">
        <v>20</v>
      </c>
      <c r="D100" s="468">
        <v>13</v>
      </c>
      <c r="E100" s="660">
        <v>1.3</v>
      </c>
      <c r="F100" s="468">
        <v>14</v>
      </c>
      <c r="G100" s="1142">
        <f>D100/E100</f>
        <v>10</v>
      </c>
      <c r="H100" s="201">
        <v>108.5</v>
      </c>
      <c r="I100" s="812">
        <v>16.5</v>
      </c>
      <c r="J100" s="178">
        <f t="shared" si="13"/>
        <v>89.5125</v>
      </c>
      <c r="K100" s="188">
        <f t="shared" si="14"/>
        <v>0.825</v>
      </c>
      <c r="L100" s="54"/>
      <c r="M100" s="54"/>
      <c r="O100" s="101"/>
      <c r="P100" s="101"/>
      <c r="Q100" s="101"/>
      <c r="R100" s="101"/>
      <c r="S100" s="101"/>
    </row>
    <row r="101" spans="1:19" ht="13.5">
      <c r="A101" s="34"/>
      <c r="B101" s="10" t="s">
        <v>444</v>
      </c>
      <c r="C101" s="19">
        <v>20</v>
      </c>
      <c r="D101" s="468">
        <v>8</v>
      </c>
      <c r="E101" s="660">
        <v>0.8</v>
      </c>
      <c r="F101" s="468">
        <v>11</v>
      </c>
      <c r="G101" s="660">
        <f>D101/E101</f>
        <v>10</v>
      </c>
      <c r="H101" s="201">
        <v>14.6</v>
      </c>
      <c r="I101" s="812">
        <v>16.5</v>
      </c>
      <c r="J101" s="178">
        <f t="shared" si="13"/>
        <v>12.045</v>
      </c>
      <c r="K101" s="188">
        <f t="shared" si="14"/>
        <v>0.825</v>
      </c>
      <c r="L101" s="54"/>
      <c r="M101" s="101"/>
      <c r="O101" s="101"/>
      <c r="P101" s="101"/>
      <c r="Q101" s="101"/>
      <c r="R101" s="101"/>
      <c r="S101" s="101"/>
    </row>
    <row r="102" spans="1:19" ht="13.5">
      <c r="A102" s="37" t="s">
        <v>48</v>
      </c>
      <c r="B102" s="6"/>
      <c r="C102" s="7"/>
      <c r="D102" s="181"/>
      <c r="E102" s="180"/>
      <c r="F102" s="181"/>
      <c r="G102" s="181"/>
      <c r="H102" s="203" t="s">
        <v>48</v>
      </c>
      <c r="I102" s="560">
        <f>SUM(H103:H110)</f>
        <v>129083</v>
      </c>
      <c r="J102" s="182"/>
      <c r="K102" s="182"/>
      <c r="L102" s="54"/>
      <c r="M102" s="54"/>
      <c r="O102" s="101"/>
      <c r="P102" s="101"/>
      <c r="Q102" s="101"/>
      <c r="R102" s="101"/>
      <c r="S102" s="101"/>
    </row>
    <row r="103" spans="1:19" ht="13.5">
      <c r="A103" s="34"/>
      <c r="B103" s="10" t="s">
        <v>182</v>
      </c>
      <c r="C103" s="15">
        <v>20</v>
      </c>
      <c r="D103" s="193">
        <v>10</v>
      </c>
      <c r="E103" s="660">
        <v>0.9</v>
      </c>
      <c r="F103" s="193">
        <v>12</v>
      </c>
      <c r="G103" s="660">
        <f aca="true" t="shared" si="15" ref="G103:G110">D103/E103</f>
        <v>11.11111111111111</v>
      </c>
      <c r="H103" s="201">
        <v>10298</v>
      </c>
      <c r="I103" s="812">
        <v>15.3</v>
      </c>
      <c r="J103" s="178">
        <f t="shared" si="13"/>
        <v>7877.969999999999</v>
      </c>
      <c r="K103" s="188">
        <f t="shared" si="14"/>
        <v>0.765</v>
      </c>
      <c r="L103" s="54"/>
      <c r="M103" s="54"/>
      <c r="N103" s="101"/>
      <c r="O103" s="101"/>
      <c r="P103" s="101"/>
      <c r="Q103" s="101"/>
      <c r="R103" s="101"/>
      <c r="S103" s="101"/>
    </row>
    <row r="104" spans="1:19" ht="13.5">
      <c r="A104" s="34"/>
      <c r="B104" s="10" t="s">
        <v>182</v>
      </c>
      <c r="C104" s="15">
        <v>25</v>
      </c>
      <c r="D104" s="91">
        <v>10</v>
      </c>
      <c r="E104" s="177">
        <v>0.9</v>
      </c>
      <c r="F104" s="91">
        <v>12</v>
      </c>
      <c r="G104" s="177">
        <f t="shared" si="15"/>
        <v>11.11111111111111</v>
      </c>
      <c r="H104" s="201">
        <v>25309</v>
      </c>
      <c r="I104" s="812">
        <v>18.9</v>
      </c>
      <c r="J104" s="178">
        <f t="shared" si="13"/>
        <v>19133.604</v>
      </c>
      <c r="K104" s="188">
        <f t="shared" si="14"/>
        <v>0.7559999999999999</v>
      </c>
      <c r="L104" s="54"/>
      <c r="M104" s="54"/>
      <c r="O104" s="101"/>
      <c r="P104" s="101"/>
      <c r="Q104" s="101"/>
      <c r="R104" s="101"/>
      <c r="S104" s="101"/>
    </row>
    <row r="105" spans="1:19" ht="13.5">
      <c r="A105" s="34"/>
      <c r="B105" s="10" t="s">
        <v>188</v>
      </c>
      <c r="C105" s="15">
        <v>20</v>
      </c>
      <c r="D105" s="193">
        <v>13</v>
      </c>
      <c r="E105" s="660">
        <v>1.1</v>
      </c>
      <c r="F105" s="193">
        <v>16</v>
      </c>
      <c r="G105" s="660">
        <f t="shared" si="15"/>
        <v>11.818181818181817</v>
      </c>
      <c r="H105" s="201">
        <v>18811</v>
      </c>
      <c r="I105" s="812">
        <v>15.3</v>
      </c>
      <c r="J105" s="178">
        <f t="shared" si="13"/>
        <v>14390.414999999999</v>
      </c>
      <c r="K105" s="188">
        <f t="shared" si="14"/>
        <v>0.765</v>
      </c>
      <c r="L105" s="54"/>
      <c r="M105" s="54"/>
      <c r="N105" s="101"/>
      <c r="O105" s="101"/>
      <c r="P105" s="101"/>
      <c r="Q105" s="101"/>
      <c r="R105" s="101"/>
      <c r="S105" s="101"/>
    </row>
    <row r="106" spans="1:19" ht="13.5">
      <c r="A106" s="34"/>
      <c r="B106" s="10" t="s">
        <v>188</v>
      </c>
      <c r="C106" s="15">
        <v>25</v>
      </c>
      <c r="D106" s="91">
        <v>13</v>
      </c>
      <c r="E106" s="177">
        <v>1.1</v>
      </c>
      <c r="F106" s="91">
        <v>16</v>
      </c>
      <c r="G106" s="177">
        <f t="shared" si="15"/>
        <v>11.818181818181817</v>
      </c>
      <c r="H106" s="201">
        <v>53811</v>
      </c>
      <c r="I106" s="812">
        <v>18.9</v>
      </c>
      <c r="J106" s="178">
        <f t="shared" si="13"/>
        <v>40681.115999999995</v>
      </c>
      <c r="K106" s="188">
        <f t="shared" si="14"/>
        <v>0.7559999999999999</v>
      </c>
      <c r="L106" s="54"/>
      <c r="M106" s="54"/>
      <c r="O106" s="101"/>
      <c r="P106" s="101"/>
      <c r="Q106" s="101"/>
      <c r="R106" s="101"/>
      <c r="S106" s="101"/>
    </row>
    <row r="107" spans="1:19" ht="13.5">
      <c r="A107" s="34"/>
      <c r="B107" s="10" t="s">
        <v>195</v>
      </c>
      <c r="C107" s="15">
        <v>20</v>
      </c>
      <c r="D107" s="468">
        <v>13</v>
      </c>
      <c r="E107" s="660">
        <v>0.8</v>
      </c>
      <c r="F107" s="468">
        <v>16</v>
      </c>
      <c r="G107" s="660">
        <f t="shared" si="15"/>
        <v>16.25</v>
      </c>
      <c r="H107" s="201">
        <v>1996</v>
      </c>
      <c r="I107" s="812">
        <v>15.3</v>
      </c>
      <c r="J107" s="178">
        <f t="shared" si="13"/>
        <v>1526.94</v>
      </c>
      <c r="K107" s="188">
        <f t="shared" si="14"/>
        <v>0.765</v>
      </c>
      <c r="L107" s="54"/>
      <c r="M107" s="54"/>
      <c r="O107" s="101"/>
      <c r="P107" s="101"/>
      <c r="Q107" s="101"/>
      <c r="R107" s="101"/>
      <c r="S107" s="101"/>
    </row>
    <row r="108" spans="1:19" ht="13.5">
      <c r="A108" s="34"/>
      <c r="B108" s="10" t="s">
        <v>195</v>
      </c>
      <c r="C108" s="15">
        <v>25</v>
      </c>
      <c r="D108" s="468">
        <v>13</v>
      </c>
      <c r="E108" s="660">
        <v>0.8</v>
      </c>
      <c r="F108" s="468">
        <v>16</v>
      </c>
      <c r="G108" s="660">
        <f t="shared" si="15"/>
        <v>16.25</v>
      </c>
      <c r="H108" s="201">
        <v>8011</v>
      </c>
      <c r="I108" s="812">
        <v>18.9</v>
      </c>
      <c r="J108" s="178">
        <f t="shared" si="13"/>
        <v>6056.316</v>
      </c>
      <c r="K108" s="188">
        <f t="shared" si="14"/>
        <v>0.7559999999999999</v>
      </c>
      <c r="L108" s="54"/>
      <c r="M108" s="54"/>
      <c r="O108" s="101"/>
      <c r="P108" s="101"/>
      <c r="Q108" s="101"/>
      <c r="R108" s="101"/>
      <c r="S108" s="101"/>
    </row>
    <row r="109" spans="1:19" ht="13.5">
      <c r="A109" s="49"/>
      <c r="B109" s="10" t="s">
        <v>199</v>
      </c>
      <c r="C109" s="15">
        <v>20</v>
      </c>
      <c r="D109" s="193">
        <v>7</v>
      </c>
      <c r="E109" s="660">
        <v>0.6</v>
      </c>
      <c r="F109" s="193">
        <v>8</v>
      </c>
      <c r="G109" s="660">
        <f t="shared" si="15"/>
        <v>11.666666666666668</v>
      </c>
      <c r="H109" s="201">
        <v>140</v>
      </c>
      <c r="I109" s="812">
        <v>15.3</v>
      </c>
      <c r="J109" s="178">
        <f t="shared" si="13"/>
        <v>107.1</v>
      </c>
      <c r="K109" s="188">
        <f t="shared" si="14"/>
        <v>0.765</v>
      </c>
      <c r="L109" s="54"/>
      <c r="M109" s="101"/>
      <c r="O109" s="101"/>
      <c r="P109" s="101"/>
      <c r="Q109" s="101"/>
      <c r="R109" s="101"/>
      <c r="S109" s="101"/>
    </row>
    <row r="110" spans="1:19" ht="13.5">
      <c r="A110" s="49"/>
      <c r="B110" s="10" t="s">
        <v>160</v>
      </c>
      <c r="C110" s="15">
        <v>25</v>
      </c>
      <c r="D110" s="91">
        <v>7</v>
      </c>
      <c r="E110" s="177">
        <v>0.6</v>
      </c>
      <c r="F110" s="91">
        <v>8</v>
      </c>
      <c r="G110" s="177">
        <f t="shared" si="15"/>
        <v>11.666666666666668</v>
      </c>
      <c r="H110" s="201">
        <v>10707</v>
      </c>
      <c r="I110" s="812">
        <v>18.9</v>
      </c>
      <c r="J110" s="178">
        <f t="shared" si="13"/>
        <v>8094.491999999999</v>
      </c>
      <c r="K110" s="188">
        <f t="shared" si="14"/>
        <v>0.7559999999999999</v>
      </c>
      <c r="L110" s="54"/>
      <c r="M110" s="101"/>
      <c r="O110" s="101"/>
      <c r="P110" s="101"/>
      <c r="Q110" s="101"/>
      <c r="R110" s="101"/>
      <c r="S110" s="101"/>
    </row>
    <row r="111" spans="1:19" ht="13.5">
      <c r="A111" s="53" t="s">
        <v>445</v>
      </c>
      <c r="B111" s="6"/>
      <c r="C111" s="7"/>
      <c r="D111" s="181"/>
      <c r="E111" s="180"/>
      <c r="F111" s="181"/>
      <c r="G111" s="180"/>
      <c r="H111" s="203" t="s">
        <v>445</v>
      </c>
      <c r="I111" s="560">
        <f>SUM(H112:H113)</f>
        <v>1130</v>
      </c>
      <c r="J111" s="182"/>
      <c r="K111" s="630"/>
      <c r="L111" s="54"/>
      <c r="M111" s="54"/>
      <c r="O111" s="101"/>
      <c r="P111" s="101"/>
      <c r="Q111" s="101"/>
      <c r="R111" s="101"/>
      <c r="S111" s="101"/>
    </row>
    <row r="112" spans="1:19" ht="13.5">
      <c r="A112" s="34" t="s">
        <v>445</v>
      </c>
      <c r="B112" s="10" t="s">
        <v>446</v>
      </c>
      <c r="C112" s="15">
        <v>20</v>
      </c>
      <c r="D112" s="193">
        <v>8</v>
      </c>
      <c r="E112" s="660">
        <v>0.7</v>
      </c>
      <c r="F112" s="193">
        <v>7</v>
      </c>
      <c r="G112" s="660">
        <f>D112/E112</f>
        <v>11.428571428571429</v>
      </c>
      <c r="H112" s="201">
        <v>468</v>
      </c>
      <c r="I112" s="812">
        <v>19.7</v>
      </c>
      <c r="J112" s="178">
        <f t="shared" si="13"/>
        <v>460.98</v>
      </c>
      <c r="K112" s="188">
        <f t="shared" si="14"/>
        <v>0.985</v>
      </c>
      <c r="L112" s="54"/>
      <c r="M112" s="54"/>
      <c r="O112" s="101"/>
      <c r="P112" s="101"/>
      <c r="Q112" s="101"/>
      <c r="R112" s="101"/>
      <c r="S112" s="101"/>
    </row>
    <row r="113" spans="1:19" ht="13.5">
      <c r="A113" s="49" t="s">
        <v>447</v>
      </c>
      <c r="B113" s="10" t="s">
        <v>448</v>
      </c>
      <c r="C113" s="15">
        <v>20</v>
      </c>
      <c r="D113" s="193">
        <v>8</v>
      </c>
      <c r="E113" s="660">
        <v>0.6</v>
      </c>
      <c r="F113" s="193">
        <v>7</v>
      </c>
      <c r="G113" s="660">
        <f>D113/E113</f>
        <v>13.333333333333334</v>
      </c>
      <c r="H113" s="201">
        <v>662</v>
      </c>
      <c r="I113" s="812">
        <v>19.7</v>
      </c>
      <c r="J113" s="178">
        <f t="shared" si="13"/>
        <v>652.0699999999999</v>
      </c>
      <c r="K113" s="188">
        <f t="shared" si="14"/>
        <v>0.985</v>
      </c>
      <c r="L113" s="54"/>
      <c r="M113" s="54"/>
      <c r="O113" s="101"/>
      <c r="P113" s="101"/>
      <c r="Q113" s="101"/>
      <c r="R113" s="101"/>
      <c r="S113" s="101"/>
    </row>
    <row r="114" spans="1:19" ht="15.75">
      <c r="A114" s="53" t="s">
        <v>464</v>
      </c>
      <c r="B114" s="1083"/>
      <c r="C114" s="16"/>
      <c r="D114" s="181"/>
      <c r="E114" s="180"/>
      <c r="F114" s="181"/>
      <c r="G114" s="181"/>
      <c r="H114" s="203" t="s">
        <v>229</v>
      </c>
      <c r="I114" s="560">
        <f>SUM(H115:H119)</f>
        <v>149044</v>
      </c>
      <c r="J114" s="182"/>
      <c r="K114" s="182"/>
      <c r="L114" s="54"/>
      <c r="M114" s="54"/>
      <c r="O114" s="101"/>
      <c r="P114" s="101"/>
      <c r="Q114" s="101"/>
      <c r="R114" s="101"/>
      <c r="S114" s="101"/>
    </row>
    <row r="115" spans="1:19" ht="13.5">
      <c r="A115" s="34" t="s">
        <v>229</v>
      </c>
      <c r="B115" s="10" t="s">
        <v>200</v>
      </c>
      <c r="C115" s="15">
        <v>20</v>
      </c>
      <c r="D115" s="468">
        <v>6</v>
      </c>
      <c r="E115" s="660">
        <v>0.5</v>
      </c>
      <c r="F115" s="468">
        <v>6</v>
      </c>
      <c r="G115" s="660">
        <f>D115/E115</f>
        <v>12</v>
      </c>
      <c r="H115" s="201">
        <v>8223</v>
      </c>
      <c r="I115" s="812">
        <v>15.9</v>
      </c>
      <c r="J115" s="178">
        <f>H115*I115/C115</f>
        <v>6537.285</v>
      </c>
      <c r="K115" s="188">
        <f>I115/C115</f>
        <v>0.795</v>
      </c>
      <c r="L115" s="54"/>
      <c r="M115" s="101"/>
      <c r="O115" s="101"/>
      <c r="P115" s="101"/>
      <c r="Q115" s="101"/>
      <c r="R115" s="101"/>
      <c r="S115" s="101"/>
    </row>
    <row r="116" spans="1:19" ht="13.5">
      <c r="A116" s="34"/>
      <c r="B116" s="10" t="s">
        <v>201</v>
      </c>
      <c r="C116" s="15">
        <v>20</v>
      </c>
      <c r="D116" s="468">
        <v>10</v>
      </c>
      <c r="E116" s="660">
        <v>1</v>
      </c>
      <c r="F116" s="468">
        <v>12</v>
      </c>
      <c r="G116" s="660">
        <f>D116/E116</f>
        <v>10</v>
      </c>
      <c r="H116" s="201">
        <v>11236</v>
      </c>
      <c r="I116" s="812">
        <v>15.9</v>
      </c>
      <c r="J116" s="178">
        <f>H116*I116/C116</f>
        <v>8932.619999999999</v>
      </c>
      <c r="K116" s="188">
        <f>I116/C116</f>
        <v>0.795</v>
      </c>
      <c r="L116" s="54"/>
      <c r="M116" s="54"/>
      <c r="O116" s="101"/>
      <c r="P116" s="101"/>
      <c r="Q116" s="101"/>
      <c r="R116" s="101"/>
      <c r="S116" s="101"/>
    </row>
    <row r="117" spans="1:19" ht="13.5">
      <c r="A117" s="34"/>
      <c r="B117" s="10" t="s">
        <v>202</v>
      </c>
      <c r="C117" s="15">
        <v>25</v>
      </c>
      <c r="D117" s="178">
        <v>10</v>
      </c>
      <c r="E117" s="177">
        <v>1</v>
      </c>
      <c r="F117" s="178">
        <v>12</v>
      </c>
      <c r="G117" s="177">
        <f>D117/E117</f>
        <v>10</v>
      </c>
      <c r="H117" s="201">
        <v>12894</v>
      </c>
      <c r="I117" s="812">
        <v>19.4</v>
      </c>
      <c r="J117" s="178">
        <f>H117*I117/C117</f>
        <v>10005.743999999999</v>
      </c>
      <c r="K117" s="188">
        <f>I117/C117</f>
        <v>0.7759999999999999</v>
      </c>
      <c r="L117" s="54"/>
      <c r="M117" s="54"/>
      <c r="O117" s="101"/>
      <c r="P117" s="101"/>
      <c r="Q117" s="101"/>
      <c r="R117" s="101"/>
      <c r="S117" s="101"/>
    </row>
    <row r="118" spans="1:19" ht="13.5">
      <c r="A118" s="34"/>
      <c r="B118" s="10" t="s">
        <v>203</v>
      </c>
      <c r="C118" s="15">
        <v>20</v>
      </c>
      <c r="D118" s="468">
        <v>13</v>
      </c>
      <c r="E118" s="660">
        <v>1.1</v>
      </c>
      <c r="F118" s="468">
        <v>15</v>
      </c>
      <c r="G118" s="660">
        <f>D118/E118</f>
        <v>11.818181818181817</v>
      </c>
      <c r="H118" s="201">
        <v>57632</v>
      </c>
      <c r="I118" s="812">
        <v>15.9</v>
      </c>
      <c r="J118" s="178">
        <f>H118*I118/C118</f>
        <v>45817.44</v>
      </c>
      <c r="K118" s="188">
        <f>I118/C118</f>
        <v>0.795</v>
      </c>
      <c r="L118" s="54"/>
      <c r="M118" s="54"/>
      <c r="N118" s="101"/>
      <c r="O118" s="101"/>
      <c r="P118" s="101"/>
      <c r="Q118" s="101"/>
      <c r="R118" s="101"/>
      <c r="S118" s="101"/>
    </row>
    <row r="119" spans="1:19" ht="13.5">
      <c r="A119" s="34"/>
      <c r="B119" s="10" t="s">
        <v>204</v>
      </c>
      <c r="C119" s="15">
        <v>25</v>
      </c>
      <c r="D119" s="178">
        <v>13</v>
      </c>
      <c r="E119" s="177">
        <v>1.1</v>
      </c>
      <c r="F119" s="178">
        <v>15</v>
      </c>
      <c r="G119" s="177">
        <f>D119/E119</f>
        <v>11.818181818181817</v>
      </c>
      <c r="H119" s="201">
        <v>59059</v>
      </c>
      <c r="I119" s="812">
        <v>19.4</v>
      </c>
      <c r="J119" s="178">
        <f>H119*I119/C119</f>
        <v>45829.78399999999</v>
      </c>
      <c r="K119" s="188">
        <f>I119/C119</f>
        <v>0.7759999999999999</v>
      </c>
      <c r="L119" s="54"/>
      <c r="M119" s="54"/>
      <c r="O119" s="101"/>
      <c r="P119" s="101"/>
      <c r="Q119" s="101"/>
      <c r="R119" s="101"/>
      <c r="S119" s="101"/>
    </row>
    <row r="120" spans="1:19" ht="13.5">
      <c r="A120" s="53" t="s">
        <v>49</v>
      </c>
      <c r="B120" s="6"/>
      <c r="C120" s="7"/>
      <c r="D120" s="181"/>
      <c r="E120" s="180"/>
      <c r="F120" s="181"/>
      <c r="G120" s="182"/>
      <c r="H120" s="631" t="s">
        <v>49</v>
      </c>
      <c r="I120" s="560">
        <f>H121</f>
        <v>159</v>
      </c>
      <c r="J120" s="182"/>
      <c r="K120" s="182"/>
      <c r="L120" s="54"/>
      <c r="M120" s="54"/>
      <c r="O120" s="101"/>
      <c r="P120" s="101"/>
      <c r="Q120" s="101"/>
      <c r="R120" s="101"/>
      <c r="S120" s="101"/>
    </row>
    <row r="121" spans="1:19" ht="12.75">
      <c r="A121" s="46"/>
      <c r="B121" s="10" t="s">
        <v>36</v>
      </c>
      <c r="C121" s="15">
        <v>25</v>
      </c>
      <c r="D121" s="468">
        <v>13</v>
      </c>
      <c r="E121" s="660">
        <v>1.1</v>
      </c>
      <c r="F121" s="468">
        <v>15</v>
      </c>
      <c r="G121" s="660">
        <f>D121/E121</f>
        <v>11.818181818181817</v>
      </c>
      <c r="H121" s="201">
        <v>159</v>
      </c>
      <c r="I121" s="35">
        <v>19.4</v>
      </c>
      <c r="J121" s="178">
        <f>H121*I121/C121</f>
        <v>123.384</v>
      </c>
      <c r="K121" s="188">
        <f>I121/C121</f>
        <v>0.7759999999999999</v>
      </c>
      <c r="L121" s="54"/>
      <c r="M121" s="54"/>
      <c r="O121" s="101"/>
      <c r="P121" s="101"/>
      <c r="Q121" s="101"/>
      <c r="R121" s="101"/>
      <c r="S121" s="101"/>
    </row>
    <row r="122" spans="1:19" ht="12.75">
      <c r="A122" s="1159" t="s">
        <v>124</v>
      </c>
      <c r="B122" s="6"/>
      <c r="C122" s="7"/>
      <c r="D122" s="182"/>
      <c r="E122" s="180"/>
      <c r="F122" s="182"/>
      <c r="G122" s="180"/>
      <c r="H122" s="203" t="s">
        <v>124</v>
      </c>
      <c r="I122" s="560">
        <f>H123</f>
        <v>96</v>
      </c>
      <c r="J122" s="182"/>
      <c r="K122" s="182"/>
      <c r="L122" s="54"/>
      <c r="M122" s="54"/>
      <c r="O122" s="101"/>
      <c r="P122" s="101"/>
      <c r="Q122" s="101"/>
      <c r="R122" s="101"/>
      <c r="S122" s="101"/>
    </row>
    <row r="123" spans="1:19" ht="13.5">
      <c r="A123" s="28" t="s">
        <v>124</v>
      </c>
      <c r="B123" s="21"/>
      <c r="C123" s="11">
        <v>20</v>
      </c>
      <c r="D123" s="807">
        <v>13</v>
      </c>
      <c r="E123" s="808">
        <v>1</v>
      </c>
      <c r="F123" s="807">
        <v>18</v>
      </c>
      <c r="G123" s="808">
        <f>D123/E123</f>
        <v>13</v>
      </c>
      <c r="H123" s="201">
        <v>96</v>
      </c>
      <c r="I123" s="100">
        <v>16.5</v>
      </c>
      <c r="J123" s="178">
        <f>H123*I123/C123</f>
        <v>79.2</v>
      </c>
      <c r="K123" s="188">
        <f>I123/C123</f>
        <v>0.825</v>
      </c>
      <c r="L123" s="54"/>
      <c r="M123" s="54"/>
      <c r="O123" s="101"/>
      <c r="P123" s="101"/>
      <c r="Q123" s="101"/>
      <c r="R123" s="101"/>
      <c r="S123" s="101"/>
    </row>
    <row r="124" spans="1:19" ht="13.5">
      <c r="A124" s="53" t="s">
        <v>695</v>
      </c>
      <c r="B124" s="6"/>
      <c r="C124" s="7"/>
      <c r="D124" s="922"/>
      <c r="E124" s="923"/>
      <c r="F124" s="922"/>
      <c r="G124" s="923"/>
      <c r="H124" s="203" t="s">
        <v>695</v>
      </c>
      <c r="I124" s="560">
        <f>H125</f>
        <v>526</v>
      </c>
      <c r="J124" s="182"/>
      <c r="K124" s="630"/>
      <c r="L124" s="54"/>
      <c r="M124" s="54"/>
      <c r="O124" s="101"/>
      <c r="P124" s="101"/>
      <c r="Q124" s="101"/>
      <c r="R124" s="101"/>
      <c r="S124" s="101"/>
    </row>
    <row r="125" spans="1:19" ht="13.5">
      <c r="A125" s="28" t="s">
        <v>695</v>
      </c>
      <c r="B125" s="21"/>
      <c r="C125" s="11">
        <v>20</v>
      </c>
      <c r="D125" s="807">
        <v>11</v>
      </c>
      <c r="E125" s="808">
        <v>1</v>
      </c>
      <c r="F125" s="807">
        <v>15</v>
      </c>
      <c r="G125" s="808"/>
      <c r="H125" s="594">
        <v>526</v>
      </c>
      <c r="I125" s="1081">
        <v>16.5</v>
      </c>
      <c r="J125" s="187"/>
      <c r="K125" s="1082"/>
      <c r="L125" s="54"/>
      <c r="M125" s="54"/>
      <c r="O125" s="101"/>
      <c r="P125" s="101"/>
      <c r="Q125" s="101"/>
      <c r="R125" s="101"/>
      <c r="S125" s="101"/>
    </row>
    <row r="126" spans="1:19" ht="13.5">
      <c r="A126" s="53" t="s">
        <v>110</v>
      </c>
      <c r="B126" s="827" t="s">
        <v>558</v>
      </c>
      <c r="C126" s="7"/>
      <c r="D126" s="194">
        <f>SUMPRODUCT(D10:D123,$H10:$H123)/$H126</f>
        <v>11.611038410999072</v>
      </c>
      <c r="E126" s="194">
        <f>SUMPRODUCT(E10:E123,$H10:$H123)/$H126</f>
        <v>0.9835557837807933</v>
      </c>
      <c r="F126" s="194">
        <f>SUMPRODUCT(F10:F123,$H10:$H123)/$H126</f>
        <v>14.099317883176344</v>
      </c>
      <c r="G126" s="194">
        <f>SUMPRODUCT(G10:G123,$H10:$H123)/$H126</f>
        <v>11.980389241420987</v>
      </c>
      <c r="H126" s="828">
        <f>SUM(H10:H125)</f>
        <v>1445940</v>
      </c>
      <c r="I126" s="1125">
        <f>SUM(I9,I24,I36,I60,I64,I71,I96,I99,I102,I111,I114,I120,I122,I124)</f>
        <v>1445940</v>
      </c>
      <c r="J126" s="828">
        <f>SUM(J10:J125)</f>
        <v>1052251.6760333332</v>
      </c>
      <c r="K126" s="829">
        <f>J126/H126</f>
        <v>0.7277284507194857</v>
      </c>
      <c r="L126" s="54"/>
      <c r="M126" s="54"/>
      <c r="O126" s="101"/>
      <c r="P126" s="101"/>
      <c r="Q126" s="101"/>
      <c r="R126" s="101"/>
      <c r="S126" s="101"/>
    </row>
    <row r="127" spans="1:19" ht="12.75">
      <c r="A127" s="831" t="s">
        <v>878</v>
      </c>
      <c r="B127" s="832"/>
      <c r="C127" s="833"/>
      <c r="D127" s="834"/>
      <c r="E127" s="834"/>
      <c r="F127" s="834"/>
      <c r="G127" s="834"/>
      <c r="H127" s="838"/>
      <c r="I127" s="835"/>
      <c r="J127" s="838"/>
      <c r="K127" s="838"/>
      <c r="L127" s="837"/>
      <c r="M127" s="166"/>
      <c r="O127" s="101"/>
      <c r="P127" s="101"/>
      <c r="Q127" s="101"/>
      <c r="R127" s="101"/>
      <c r="S127" s="101"/>
    </row>
    <row r="128" spans="1:19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54"/>
      <c r="M128" s="54"/>
      <c r="O128" s="101"/>
      <c r="P128" s="101"/>
      <c r="Q128" s="101"/>
      <c r="R128" s="101"/>
      <c r="S128" s="101"/>
    </row>
    <row r="129" spans="1:19" ht="15.75">
      <c r="A129" s="1119" t="s">
        <v>645</v>
      </c>
      <c r="B129" s="1116"/>
      <c r="C129" s="1161"/>
      <c r="D129" s="1086"/>
      <c r="E129" s="1087"/>
      <c r="F129" s="1088"/>
      <c r="G129" s="1089"/>
      <c r="H129" s="1090"/>
      <c r="I129" s="630"/>
      <c r="J129" s="630"/>
      <c r="K129" s="630"/>
      <c r="L129" s="54"/>
      <c r="M129" s="54"/>
      <c r="O129" s="101"/>
      <c r="P129" s="101"/>
      <c r="Q129" s="101"/>
      <c r="R129" s="101"/>
      <c r="S129" s="101"/>
    </row>
    <row r="130" spans="1:19" ht="13.5">
      <c r="A130" s="37" t="s">
        <v>50</v>
      </c>
      <c r="B130" s="6"/>
      <c r="C130" s="7"/>
      <c r="D130" s="1162"/>
      <c r="E130" s="180"/>
      <c r="F130" s="182"/>
      <c r="G130" s="182"/>
      <c r="H130" s="631" t="s">
        <v>50</v>
      </c>
      <c r="I130" s="560">
        <f>SUM(H131:H135)</f>
        <v>21647</v>
      </c>
      <c r="J130" s="1163"/>
      <c r="K130" s="1163"/>
      <c r="L130" s="54"/>
      <c r="M130" s="54"/>
      <c r="O130" s="101"/>
      <c r="P130" s="101"/>
      <c r="Q130" s="101"/>
      <c r="R130" s="101"/>
      <c r="S130" s="101"/>
    </row>
    <row r="131" spans="1:19" ht="13.5">
      <c r="A131" s="34"/>
      <c r="B131" s="10" t="s">
        <v>47</v>
      </c>
      <c r="C131" s="15">
        <v>20</v>
      </c>
      <c r="D131" s="468">
        <v>12</v>
      </c>
      <c r="E131" s="660">
        <v>0.9</v>
      </c>
      <c r="F131" s="468">
        <v>14</v>
      </c>
      <c r="G131" s="660">
        <f>D131/E131</f>
        <v>13.333333333333332</v>
      </c>
      <c r="H131" s="202">
        <v>5410</v>
      </c>
      <c r="I131" s="1117">
        <v>15.9</v>
      </c>
      <c r="J131" s="178">
        <f>H131*I131/C131</f>
        <v>4300.95</v>
      </c>
      <c r="K131" s="188">
        <f>I131/C131</f>
        <v>0.795</v>
      </c>
      <c r="L131" s="54"/>
      <c r="M131" s="54"/>
      <c r="O131" s="101"/>
      <c r="P131" s="101"/>
      <c r="Q131" s="101"/>
      <c r="R131" s="101"/>
      <c r="S131" s="101"/>
    </row>
    <row r="132" spans="1:19" ht="13.5">
      <c r="A132" s="34"/>
      <c r="B132" s="10" t="s">
        <v>205</v>
      </c>
      <c r="C132" s="15">
        <v>20</v>
      </c>
      <c r="D132" s="468">
        <v>9</v>
      </c>
      <c r="E132" s="660">
        <v>0.8</v>
      </c>
      <c r="F132" s="468">
        <v>10</v>
      </c>
      <c r="G132" s="660">
        <f>D132/E132</f>
        <v>11.25</v>
      </c>
      <c r="H132" s="202">
        <v>9343</v>
      </c>
      <c r="I132" s="1117">
        <v>15.9</v>
      </c>
      <c r="J132" s="178">
        <f>H132*I132/C132</f>
        <v>7427.685</v>
      </c>
      <c r="K132" s="188">
        <f>I132/C132</f>
        <v>0.795</v>
      </c>
      <c r="L132" s="54"/>
      <c r="M132" s="54"/>
      <c r="O132" s="101"/>
      <c r="P132" s="101"/>
      <c r="Q132" s="101"/>
      <c r="R132" s="101"/>
      <c r="S132" s="101"/>
    </row>
    <row r="133" spans="1:19" ht="13.5">
      <c r="A133" s="34"/>
      <c r="B133" s="10" t="s">
        <v>206</v>
      </c>
      <c r="C133" s="15">
        <v>20</v>
      </c>
      <c r="D133" s="468">
        <v>3</v>
      </c>
      <c r="E133" s="660">
        <v>0.3</v>
      </c>
      <c r="F133" s="468">
        <v>4</v>
      </c>
      <c r="G133" s="660">
        <f>D133/E133</f>
        <v>10</v>
      </c>
      <c r="H133" s="202">
        <v>650</v>
      </c>
      <c r="I133" s="1117">
        <v>15.9</v>
      </c>
      <c r="J133" s="178">
        <f>H133*I133/C133</f>
        <v>516.75</v>
      </c>
      <c r="K133" s="188">
        <f>I133/C133</f>
        <v>0.795</v>
      </c>
      <c r="L133" s="54"/>
      <c r="M133" s="54"/>
      <c r="O133" s="101"/>
      <c r="P133" s="101"/>
      <c r="Q133" s="101"/>
      <c r="R133" s="101"/>
      <c r="S133" s="101"/>
    </row>
    <row r="134" spans="1:19" ht="13.5">
      <c r="A134" s="34"/>
      <c r="B134" s="10" t="s">
        <v>47</v>
      </c>
      <c r="C134" s="15">
        <v>25</v>
      </c>
      <c r="D134" s="468">
        <v>12</v>
      </c>
      <c r="E134" s="660">
        <v>0.9</v>
      </c>
      <c r="F134" s="468">
        <v>14</v>
      </c>
      <c r="G134" s="660">
        <f>D134/E134</f>
        <v>13.333333333333332</v>
      </c>
      <c r="H134" s="202">
        <v>2659</v>
      </c>
      <c r="I134" s="1117">
        <v>18.9</v>
      </c>
      <c r="J134" s="178">
        <f>H134*I134/C134</f>
        <v>2010.204</v>
      </c>
      <c r="K134" s="188">
        <f>I134/C134</f>
        <v>0.7559999999999999</v>
      </c>
      <c r="L134" s="54"/>
      <c r="M134" s="54"/>
      <c r="O134" s="101"/>
      <c r="P134" s="101"/>
      <c r="Q134" s="101"/>
      <c r="R134" s="101"/>
      <c r="S134" s="101"/>
    </row>
    <row r="135" spans="1:19" ht="13.5">
      <c r="A135" s="28"/>
      <c r="B135" s="21" t="s">
        <v>203</v>
      </c>
      <c r="C135" s="11">
        <v>25</v>
      </c>
      <c r="D135" s="807">
        <v>9</v>
      </c>
      <c r="E135" s="808">
        <v>0.8</v>
      </c>
      <c r="F135" s="807">
        <v>10</v>
      </c>
      <c r="G135" s="808">
        <f>D135/E135</f>
        <v>11.25</v>
      </c>
      <c r="H135" s="1147">
        <v>3585</v>
      </c>
      <c r="I135" s="1158">
        <v>18.9</v>
      </c>
      <c r="J135" s="187">
        <f>H135*I135/C135</f>
        <v>2710.26</v>
      </c>
      <c r="K135" s="1082">
        <f>I135/C135</f>
        <v>0.7559999999999999</v>
      </c>
      <c r="L135" s="54"/>
      <c r="M135" s="54"/>
      <c r="O135" s="101"/>
      <c r="P135" s="101"/>
      <c r="Q135" s="101"/>
      <c r="R135" s="101"/>
      <c r="S135" s="101"/>
    </row>
    <row r="136" spans="2:19" ht="12.75">
      <c r="B136" s="837"/>
      <c r="C136" s="837"/>
      <c r="D136" s="837"/>
      <c r="E136" s="837"/>
      <c r="F136" s="837"/>
      <c r="G136" s="837"/>
      <c r="H136" s="837"/>
      <c r="I136" s="837"/>
      <c r="J136" s="837"/>
      <c r="K136" s="837"/>
      <c r="L136" s="837"/>
      <c r="M136" s="837"/>
      <c r="O136" s="101"/>
      <c r="P136" s="101"/>
      <c r="Q136" s="101"/>
      <c r="R136" s="101"/>
      <c r="S136" s="101"/>
    </row>
    <row r="137" spans="2:19" ht="12.75">
      <c r="B137" s="837"/>
      <c r="C137" s="837"/>
      <c r="D137" s="837"/>
      <c r="E137" s="837"/>
      <c r="F137" s="837"/>
      <c r="G137" s="837"/>
      <c r="H137" s="837"/>
      <c r="I137" s="837"/>
      <c r="J137" s="837"/>
      <c r="K137" s="837"/>
      <c r="L137" s="837"/>
      <c r="M137" s="837"/>
      <c r="O137" s="101"/>
      <c r="P137" s="101"/>
      <c r="Q137" s="101"/>
      <c r="R137" s="101"/>
      <c r="S137" s="101"/>
    </row>
    <row r="138" spans="1:19" ht="12.75">
      <c r="A138" s="837"/>
      <c r="B138" s="837"/>
      <c r="C138" s="837"/>
      <c r="D138" s="837"/>
      <c r="E138" s="837"/>
      <c r="F138" s="837"/>
      <c r="G138" s="837"/>
      <c r="H138" s="837"/>
      <c r="I138" s="837"/>
      <c r="J138" s="837"/>
      <c r="K138" s="837"/>
      <c r="L138" s="837"/>
      <c r="M138" s="837"/>
      <c r="O138" s="101"/>
      <c r="P138" s="101"/>
      <c r="Q138" s="101"/>
      <c r="R138" s="101"/>
      <c r="S138" s="101"/>
    </row>
    <row r="139" spans="1:19" ht="15.75">
      <c r="A139" s="637" t="s">
        <v>116</v>
      </c>
      <c r="B139" s="637"/>
      <c r="C139" s="637"/>
      <c r="D139" s="839"/>
      <c r="E139" s="839"/>
      <c r="F139" s="840"/>
      <c r="G139" s="715"/>
      <c r="I139" s="714"/>
      <c r="J139" s="713"/>
      <c r="K139" s="713"/>
      <c r="L139" s="54"/>
      <c r="M139" s="54"/>
      <c r="O139" s="101"/>
      <c r="P139" s="101"/>
      <c r="Q139" s="101"/>
      <c r="R139" s="101"/>
      <c r="S139" s="101"/>
    </row>
    <row r="140" spans="1:20" ht="15.75">
      <c r="A140" s="5" t="s">
        <v>23</v>
      </c>
      <c r="B140" s="6" t="s">
        <v>24</v>
      </c>
      <c r="C140" s="7" t="s">
        <v>25</v>
      </c>
      <c r="D140" s="8" t="s">
        <v>29</v>
      </c>
      <c r="E140" s="8" t="s">
        <v>30</v>
      </c>
      <c r="F140" s="8" t="s">
        <v>31</v>
      </c>
      <c r="G140" s="8" t="s">
        <v>32</v>
      </c>
      <c r="H140" s="199" t="s">
        <v>140</v>
      </c>
      <c r="I140" s="62" t="s">
        <v>414</v>
      </c>
      <c r="J140" s="745" t="s">
        <v>170</v>
      </c>
      <c r="K140" s="750" t="s">
        <v>644</v>
      </c>
      <c r="L140" s="54"/>
      <c r="M140" s="54"/>
      <c r="O140" s="101"/>
      <c r="P140" s="101"/>
      <c r="Q140" s="101"/>
      <c r="R140" s="101"/>
      <c r="S140" s="101"/>
      <c r="T140" s="1213"/>
    </row>
    <row r="141" spans="1:20" ht="15.75">
      <c r="A141" s="47"/>
      <c r="B141" s="21" t="s">
        <v>27</v>
      </c>
      <c r="C141" s="11" t="s">
        <v>28</v>
      </c>
      <c r="D141" s="12" t="s">
        <v>114</v>
      </c>
      <c r="E141" s="13" t="s">
        <v>114</v>
      </c>
      <c r="F141" s="13" t="s">
        <v>114</v>
      </c>
      <c r="G141" s="14" t="s">
        <v>33</v>
      </c>
      <c r="H141" s="200" t="s">
        <v>690</v>
      </c>
      <c r="I141" s="21">
        <v>2012</v>
      </c>
      <c r="J141" s="21">
        <v>2012</v>
      </c>
      <c r="K141" s="21">
        <v>2012</v>
      </c>
      <c r="L141" s="54"/>
      <c r="M141" s="54"/>
      <c r="O141" s="101"/>
      <c r="P141" s="101"/>
      <c r="Q141" s="101"/>
      <c r="R141" s="101"/>
      <c r="S141" s="101"/>
      <c r="T141" s="1213"/>
    </row>
    <row r="142" spans="1:20" ht="15.75">
      <c r="A142" s="34"/>
      <c r="B142" s="10"/>
      <c r="C142" s="19"/>
      <c r="D142" s="178"/>
      <c r="E142" s="177"/>
      <c r="F142" s="178"/>
      <c r="G142" s="177"/>
      <c r="H142" s="1085" t="s">
        <v>51</v>
      </c>
      <c r="I142" s="433">
        <f>SUM(H143:H146)</f>
        <v>59859</v>
      </c>
      <c r="J142" s="178"/>
      <c r="K142" s="178"/>
      <c r="L142" s="54"/>
      <c r="M142" s="54"/>
      <c r="O142" s="101"/>
      <c r="P142" s="101"/>
      <c r="Q142" s="101"/>
      <c r="R142" s="101"/>
      <c r="S142" s="101"/>
      <c r="T142" s="1213"/>
    </row>
    <row r="143" spans="1:19" ht="13.5">
      <c r="A143" s="49" t="s">
        <v>51</v>
      </c>
      <c r="B143" s="10"/>
      <c r="C143" s="19"/>
      <c r="D143" s="468"/>
      <c r="E143" s="660"/>
      <c r="F143" s="468"/>
      <c r="G143" s="660"/>
      <c r="H143" s="202"/>
      <c r="I143" s="645"/>
      <c r="J143" s="178"/>
      <c r="K143" s="188"/>
      <c r="L143" s="54"/>
      <c r="M143" s="54"/>
      <c r="O143" s="101"/>
      <c r="P143" s="101"/>
      <c r="Q143" s="101"/>
      <c r="R143" s="101"/>
      <c r="S143" s="101"/>
    </row>
    <row r="144" spans="1:19" ht="13.5">
      <c r="A144" s="49"/>
      <c r="B144" s="10" t="s">
        <v>47</v>
      </c>
      <c r="C144" s="15">
        <v>20</v>
      </c>
      <c r="D144" s="468">
        <v>11</v>
      </c>
      <c r="E144" s="660">
        <v>0.9</v>
      </c>
      <c r="F144" s="468">
        <v>13</v>
      </c>
      <c r="G144" s="660">
        <f>D144/E144</f>
        <v>12.222222222222221</v>
      </c>
      <c r="H144" s="202">
        <v>17357</v>
      </c>
      <c r="I144" s="645">
        <v>13.6</v>
      </c>
      <c r="J144" s="178">
        <f>H144*I144/C144</f>
        <v>11802.759999999998</v>
      </c>
      <c r="K144" s="188">
        <f>I144/C144</f>
        <v>0.6799999999999999</v>
      </c>
      <c r="L144" s="54"/>
      <c r="M144" s="54"/>
      <c r="O144" s="101"/>
      <c r="P144" s="101"/>
      <c r="Q144" s="101"/>
      <c r="R144" s="101"/>
      <c r="S144" s="101"/>
    </row>
    <row r="145" spans="1:19" ht="13.5">
      <c r="A145" s="34"/>
      <c r="B145" s="10" t="s">
        <v>47</v>
      </c>
      <c r="C145" s="15">
        <v>25</v>
      </c>
      <c r="D145" s="468">
        <v>11</v>
      </c>
      <c r="E145" s="660">
        <v>0.9</v>
      </c>
      <c r="F145" s="468">
        <v>13</v>
      </c>
      <c r="G145" s="660">
        <f>D145/E145</f>
        <v>12.222222222222221</v>
      </c>
      <c r="H145" s="202">
        <v>3449</v>
      </c>
      <c r="I145" s="645">
        <v>17</v>
      </c>
      <c r="J145" s="178">
        <f>H145*I145/C145</f>
        <v>2345.32</v>
      </c>
      <c r="K145" s="188">
        <f>I145/C145</f>
        <v>0.68</v>
      </c>
      <c r="L145" s="54"/>
      <c r="M145" s="54"/>
      <c r="O145" s="101"/>
      <c r="P145" s="101"/>
      <c r="Q145" s="101"/>
      <c r="R145" s="101"/>
      <c r="S145" s="101"/>
    </row>
    <row r="146" spans="1:19" ht="13.5">
      <c r="A146" s="28"/>
      <c r="B146" s="21" t="s">
        <v>150</v>
      </c>
      <c r="C146" s="15">
        <v>30</v>
      </c>
      <c r="D146" s="468">
        <v>11</v>
      </c>
      <c r="E146" s="660">
        <v>0.9</v>
      </c>
      <c r="F146" s="468">
        <v>13</v>
      </c>
      <c r="G146" s="660">
        <f>D146/E146</f>
        <v>12.222222222222221</v>
      </c>
      <c r="H146" s="202">
        <v>39053</v>
      </c>
      <c r="I146" s="645">
        <v>19.8</v>
      </c>
      <c r="J146" s="178">
        <f>H146*I146/C146</f>
        <v>25774.98</v>
      </c>
      <c r="K146" s="188">
        <f>I146/C146</f>
        <v>0.66</v>
      </c>
      <c r="L146" s="54"/>
      <c r="M146" s="54"/>
      <c r="O146" s="101"/>
      <c r="P146" s="101"/>
      <c r="Q146" s="101"/>
      <c r="R146" s="101"/>
      <c r="S146" s="101"/>
    </row>
    <row r="147" spans="1:19" ht="13.5">
      <c r="A147" s="49" t="s">
        <v>52</v>
      </c>
      <c r="B147" s="34" t="s">
        <v>646</v>
      </c>
      <c r="C147" s="6"/>
      <c r="D147" s="1153"/>
      <c r="E147" s="179"/>
      <c r="F147" s="181"/>
      <c r="G147" s="180"/>
      <c r="H147" s="631" t="s">
        <v>52</v>
      </c>
      <c r="I147" s="560">
        <f>SUM(H148:H165)</f>
        <v>128268</v>
      </c>
      <c r="J147" s="632"/>
      <c r="K147" s="632"/>
      <c r="L147" s="54"/>
      <c r="M147" s="54"/>
      <c r="O147" s="101"/>
      <c r="P147" s="101"/>
      <c r="Q147" s="101"/>
      <c r="R147" s="101"/>
      <c r="S147" s="101"/>
    </row>
    <row r="148" spans="1:19" ht="13.5">
      <c r="A148" s="34"/>
      <c r="B148" s="10" t="s">
        <v>36</v>
      </c>
      <c r="C148" s="15">
        <v>20</v>
      </c>
      <c r="D148" s="468">
        <v>11</v>
      </c>
      <c r="E148" s="660">
        <v>0.9</v>
      </c>
      <c r="F148" s="468">
        <v>13</v>
      </c>
      <c r="G148" s="660">
        <f aca="true" t="shared" si="16" ref="G148:G165">D148/E148</f>
        <v>12.222222222222221</v>
      </c>
      <c r="H148" s="202">
        <v>13993</v>
      </c>
      <c r="I148" s="188">
        <v>14.4</v>
      </c>
      <c r="J148" s="178">
        <f aca="true" t="shared" si="17" ref="J148:J165">H148*I148/C148</f>
        <v>10074.960000000001</v>
      </c>
      <c r="K148" s="188">
        <f aca="true" t="shared" si="18" ref="K148:K165">I148/C148</f>
        <v>0.72</v>
      </c>
      <c r="L148" s="54"/>
      <c r="M148" s="54"/>
      <c r="N148" s="101"/>
      <c r="O148" s="101"/>
      <c r="P148" s="101"/>
      <c r="Q148" s="101"/>
      <c r="R148" s="101"/>
      <c r="S148" s="101"/>
    </row>
    <row r="149" spans="1:19" ht="13.5">
      <c r="A149" s="34"/>
      <c r="B149" s="10" t="s">
        <v>36</v>
      </c>
      <c r="C149" s="15">
        <v>21</v>
      </c>
      <c r="D149" s="468">
        <v>11</v>
      </c>
      <c r="E149" s="660">
        <v>0.9</v>
      </c>
      <c r="F149" s="468">
        <v>13</v>
      </c>
      <c r="G149" s="660">
        <f t="shared" si="16"/>
        <v>12.222222222222221</v>
      </c>
      <c r="H149" s="202">
        <v>5126</v>
      </c>
      <c r="I149" s="188">
        <v>14.4</v>
      </c>
      <c r="J149" s="178">
        <f t="shared" si="17"/>
        <v>3514.971428571429</v>
      </c>
      <c r="K149" s="188">
        <f t="shared" si="18"/>
        <v>0.6857142857142857</v>
      </c>
      <c r="L149" s="54"/>
      <c r="M149" s="54"/>
      <c r="O149" s="101"/>
      <c r="P149" s="101"/>
      <c r="Q149" s="101"/>
      <c r="R149" s="101"/>
      <c r="S149" s="101"/>
    </row>
    <row r="150" spans="1:19" ht="13.5">
      <c r="A150" s="34"/>
      <c r="B150" s="10" t="s">
        <v>36</v>
      </c>
      <c r="C150" s="15">
        <v>25</v>
      </c>
      <c r="D150" s="468">
        <v>11</v>
      </c>
      <c r="E150" s="660">
        <v>0.9</v>
      </c>
      <c r="F150" s="468">
        <v>13</v>
      </c>
      <c r="G150" s="660">
        <f t="shared" si="16"/>
        <v>12.222222222222221</v>
      </c>
      <c r="H150" s="202">
        <v>11778</v>
      </c>
      <c r="I150" s="188">
        <v>17.9</v>
      </c>
      <c r="J150" s="178">
        <f t="shared" si="17"/>
        <v>8433.047999999999</v>
      </c>
      <c r="K150" s="188">
        <f t="shared" si="18"/>
        <v>0.716</v>
      </c>
      <c r="L150" s="54"/>
      <c r="M150" s="54"/>
      <c r="O150" s="101"/>
      <c r="P150" s="101"/>
      <c r="Q150" s="101"/>
      <c r="R150" s="101"/>
      <c r="S150" s="101"/>
    </row>
    <row r="151" spans="1:19" ht="13.5">
      <c r="A151" s="34"/>
      <c r="B151" s="10" t="s">
        <v>36</v>
      </c>
      <c r="C151" s="15">
        <v>30</v>
      </c>
      <c r="D151" s="468">
        <v>11</v>
      </c>
      <c r="E151" s="660">
        <v>0.9</v>
      </c>
      <c r="F151" s="468">
        <v>13</v>
      </c>
      <c r="G151" s="660">
        <f t="shared" si="16"/>
        <v>12.222222222222221</v>
      </c>
      <c r="H151" s="202">
        <v>21905</v>
      </c>
      <c r="I151" s="188">
        <v>21.4</v>
      </c>
      <c r="J151" s="178">
        <f t="shared" si="17"/>
        <v>15625.566666666664</v>
      </c>
      <c r="K151" s="188">
        <f t="shared" si="18"/>
        <v>0.7133333333333333</v>
      </c>
      <c r="L151" s="54"/>
      <c r="M151" s="54"/>
      <c r="O151" s="101"/>
      <c r="P151" s="101"/>
      <c r="Q151" s="101"/>
      <c r="R151" s="101"/>
      <c r="S151" s="101"/>
    </row>
    <row r="152" spans="1:19" ht="13.5">
      <c r="A152" s="34"/>
      <c r="B152" s="10" t="s">
        <v>36</v>
      </c>
      <c r="C152" s="15">
        <v>40</v>
      </c>
      <c r="D152" s="468">
        <v>11</v>
      </c>
      <c r="E152" s="660">
        <v>0.9</v>
      </c>
      <c r="F152" s="468">
        <v>13</v>
      </c>
      <c r="G152" s="660">
        <f t="shared" si="16"/>
        <v>12.222222222222221</v>
      </c>
      <c r="H152" s="202">
        <v>7148</v>
      </c>
      <c r="I152" s="188">
        <v>26.9</v>
      </c>
      <c r="J152" s="178">
        <f t="shared" si="17"/>
        <v>4807.03</v>
      </c>
      <c r="K152" s="188">
        <f t="shared" si="18"/>
        <v>0.6725</v>
      </c>
      <c r="L152" s="54"/>
      <c r="M152" s="54"/>
      <c r="O152" s="101"/>
      <c r="P152" s="101"/>
      <c r="Q152" s="101"/>
      <c r="R152" s="101"/>
      <c r="S152" s="101"/>
    </row>
    <row r="153" spans="1:19" ht="13.5">
      <c r="A153" s="34"/>
      <c r="B153" s="10" t="s">
        <v>876</v>
      </c>
      <c r="C153" s="15">
        <v>50</v>
      </c>
      <c r="D153" s="468">
        <v>11</v>
      </c>
      <c r="E153" s="660">
        <v>0.9</v>
      </c>
      <c r="F153" s="468">
        <v>13</v>
      </c>
      <c r="G153" s="660">
        <f t="shared" si="16"/>
        <v>12.222222222222221</v>
      </c>
      <c r="H153" s="202">
        <v>5233</v>
      </c>
      <c r="I153" s="188">
        <v>35.3</v>
      </c>
      <c r="J153" s="178">
        <f>H153*I153/C153</f>
        <v>3694.498</v>
      </c>
      <c r="K153" s="188">
        <f>I153/C153</f>
        <v>0.706</v>
      </c>
      <c r="L153" s="54"/>
      <c r="M153" s="54"/>
      <c r="O153" s="101"/>
      <c r="P153" s="101"/>
      <c r="Q153" s="101"/>
      <c r="R153" s="101"/>
      <c r="S153" s="101"/>
    </row>
    <row r="154" spans="1:19" ht="13.5">
      <c r="A154" s="34"/>
      <c r="B154" s="10" t="s">
        <v>208</v>
      </c>
      <c r="C154" s="15">
        <v>20</v>
      </c>
      <c r="D154" s="468">
        <v>9</v>
      </c>
      <c r="E154" s="660">
        <v>0.8</v>
      </c>
      <c r="F154" s="468">
        <v>10</v>
      </c>
      <c r="G154" s="660">
        <f t="shared" si="16"/>
        <v>11.25</v>
      </c>
      <c r="H154" s="202">
        <v>6118</v>
      </c>
      <c r="I154" s="188">
        <v>14.4</v>
      </c>
      <c r="J154" s="178">
        <f t="shared" si="17"/>
        <v>4404.96</v>
      </c>
      <c r="K154" s="188">
        <f t="shared" si="18"/>
        <v>0.72</v>
      </c>
      <c r="L154" s="54"/>
      <c r="M154" s="54"/>
      <c r="O154" s="101"/>
      <c r="P154" s="101"/>
      <c r="Q154" s="101"/>
      <c r="R154" s="101"/>
      <c r="S154" s="101"/>
    </row>
    <row r="155" spans="1:19" ht="13.5">
      <c r="A155" s="34"/>
      <c r="B155" s="10" t="s">
        <v>208</v>
      </c>
      <c r="C155" s="15">
        <v>21</v>
      </c>
      <c r="D155" s="468">
        <v>9</v>
      </c>
      <c r="E155" s="660">
        <v>0.8</v>
      </c>
      <c r="F155" s="468">
        <v>10</v>
      </c>
      <c r="G155" s="660">
        <f t="shared" si="16"/>
        <v>11.25</v>
      </c>
      <c r="H155" s="202">
        <v>2183</v>
      </c>
      <c r="I155" s="188">
        <v>14.4</v>
      </c>
      <c r="J155" s="178">
        <f t="shared" si="17"/>
        <v>1496.9142857142858</v>
      </c>
      <c r="K155" s="188">
        <f t="shared" si="18"/>
        <v>0.6857142857142857</v>
      </c>
      <c r="L155" s="54"/>
      <c r="M155" s="54"/>
      <c r="O155" s="101"/>
      <c r="P155" s="101"/>
      <c r="Q155" s="101"/>
      <c r="R155" s="101"/>
      <c r="S155" s="101"/>
    </row>
    <row r="156" spans="1:19" ht="13.5">
      <c r="A156" s="34"/>
      <c r="B156" s="10" t="s">
        <v>208</v>
      </c>
      <c r="C156" s="15">
        <v>25</v>
      </c>
      <c r="D156" s="468">
        <v>9</v>
      </c>
      <c r="E156" s="660">
        <v>0.8</v>
      </c>
      <c r="F156" s="468">
        <v>10</v>
      </c>
      <c r="G156" s="660">
        <f t="shared" si="16"/>
        <v>11.25</v>
      </c>
      <c r="H156" s="202">
        <v>5906</v>
      </c>
      <c r="I156" s="188">
        <v>17.9</v>
      </c>
      <c r="J156" s="178">
        <f t="shared" si="17"/>
        <v>4228.696</v>
      </c>
      <c r="K156" s="188">
        <f t="shared" si="18"/>
        <v>0.716</v>
      </c>
      <c r="L156" s="54"/>
      <c r="M156" s="54"/>
      <c r="O156" s="101"/>
      <c r="P156" s="101"/>
      <c r="Q156" s="101"/>
      <c r="R156" s="101"/>
      <c r="S156" s="101"/>
    </row>
    <row r="157" spans="1:19" ht="13.5">
      <c r="A157" s="34"/>
      <c r="B157" s="10" t="s">
        <v>208</v>
      </c>
      <c r="C157" s="15">
        <v>30</v>
      </c>
      <c r="D157" s="468">
        <v>9</v>
      </c>
      <c r="E157" s="660">
        <v>0.8</v>
      </c>
      <c r="F157" s="468">
        <v>10</v>
      </c>
      <c r="G157" s="660">
        <f t="shared" si="16"/>
        <v>11.25</v>
      </c>
      <c r="H157" s="202">
        <v>12851</v>
      </c>
      <c r="I157" s="188">
        <v>21.4</v>
      </c>
      <c r="J157" s="178">
        <f t="shared" si="17"/>
        <v>9167.046666666665</v>
      </c>
      <c r="K157" s="188">
        <f t="shared" si="18"/>
        <v>0.7133333333333333</v>
      </c>
      <c r="L157" s="54"/>
      <c r="M157" s="54"/>
      <c r="O157" s="101"/>
      <c r="P157" s="101"/>
      <c r="Q157" s="101"/>
      <c r="R157" s="101"/>
      <c r="S157" s="101"/>
    </row>
    <row r="158" spans="1:19" ht="13.5">
      <c r="A158" s="34"/>
      <c r="B158" s="10" t="s">
        <v>208</v>
      </c>
      <c r="C158" s="15">
        <v>40</v>
      </c>
      <c r="D158" s="468">
        <v>9</v>
      </c>
      <c r="E158" s="660">
        <v>0.8</v>
      </c>
      <c r="F158" s="468">
        <v>10</v>
      </c>
      <c r="G158" s="660">
        <f t="shared" si="16"/>
        <v>11.25</v>
      </c>
      <c r="H158" s="202">
        <v>3486</v>
      </c>
      <c r="I158" s="188">
        <v>26.9</v>
      </c>
      <c r="J158" s="178">
        <f t="shared" si="17"/>
        <v>2344.335</v>
      </c>
      <c r="K158" s="188">
        <f t="shared" si="18"/>
        <v>0.6725</v>
      </c>
      <c r="L158" s="54"/>
      <c r="M158" s="54"/>
      <c r="O158" s="101"/>
      <c r="P158" s="101"/>
      <c r="Q158" s="101"/>
      <c r="R158" s="101"/>
      <c r="S158" s="101"/>
    </row>
    <row r="159" spans="1:19" ht="13.5">
      <c r="A159" s="34"/>
      <c r="B159" s="10" t="s">
        <v>537</v>
      </c>
      <c r="C159" s="15">
        <v>50</v>
      </c>
      <c r="D159" s="468">
        <v>9</v>
      </c>
      <c r="E159" s="660">
        <v>0.8</v>
      </c>
      <c r="F159" s="468">
        <v>10</v>
      </c>
      <c r="G159" s="660">
        <f t="shared" si="16"/>
        <v>11.25</v>
      </c>
      <c r="H159" s="202">
        <v>2981</v>
      </c>
      <c r="I159" s="188">
        <v>35.3</v>
      </c>
      <c r="J159" s="178">
        <f t="shared" si="17"/>
        <v>2104.586</v>
      </c>
      <c r="K159" s="188">
        <f t="shared" si="18"/>
        <v>0.706</v>
      </c>
      <c r="L159" s="54"/>
      <c r="M159" s="54"/>
      <c r="O159" s="101"/>
      <c r="P159" s="101"/>
      <c r="Q159" s="101"/>
      <c r="R159" s="101"/>
      <c r="S159" s="101"/>
    </row>
    <row r="160" spans="1:19" ht="13.5">
      <c r="A160" s="34"/>
      <c r="B160" s="10" t="s">
        <v>42</v>
      </c>
      <c r="C160" s="15">
        <v>20</v>
      </c>
      <c r="D160" s="468">
        <v>11</v>
      </c>
      <c r="E160" s="660">
        <v>0.9</v>
      </c>
      <c r="F160" s="468">
        <v>13</v>
      </c>
      <c r="G160" s="660">
        <f t="shared" si="16"/>
        <v>12.222222222222221</v>
      </c>
      <c r="H160" s="202">
        <v>6654</v>
      </c>
      <c r="I160" s="188">
        <v>14.4</v>
      </c>
      <c r="J160" s="178">
        <f t="shared" si="17"/>
        <v>4790.88</v>
      </c>
      <c r="K160" s="188">
        <f t="shared" si="18"/>
        <v>0.72</v>
      </c>
      <c r="L160" s="54"/>
      <c r="M160" s="54"/>
      <c r="O160" s="101"/>
      <c r="P160" s="101"/>
      <c r="Q160" s="101"/>
      <c r="R160" s="101"/>
      <c r="S160" s="101"/>
    </row>
    <row r="161" spans="1:19" ht="13.5">
      <c r="A161" s="34"/>
      <c r="B161" s="10" t="s">
        <v>42</v>
      </c>
      <c r="C161" s="15">
        <v>21</v>
      </c>
      <c r="D161" s="468">
        <v>11</v>
      </c>
      <c r="E161" s="660">
        <v>0.9</v>
      </c>
      <c r="F161" s="468">
        <v>13</v>
      </c>
      <c r="G161" s="660">
        <f t="shared" si="16"/>
        <v>12.222222222222221</v>
      </c>
      <c r="H161" s="202">
        <v>2280</v>
      </c>
      <c r="I161" s="188">
        <v>14.4</v>
      </c>
      <c r="J161" s="178">
        <f t="shared" si="17"/>
        <v>1563.4285714285713</v>
      </c>
      <c r="K161" s="188">
        <f t="shared" si="18"/>
        <v>0.6857142857142857</v>
      </c>
      <c r="L161" s="54"/>
      <c r="M161" s="54"/>
      <c r="O161" s="101"/>
      <c r="P161" s="101"/>
      <c r="Q161" s="101"/>
      <c r="R161" s="101"/>
      <c r="S161" s="101"/>
    </row>
    <row r="162" spans="1:19" ht="13.5">
      <c r="A162" s="34"/>
      <c r="B162" s="60" t="s">
        <v>42</v>
      </c>
      <c r="C162" s="15">
        <v>25</v>
      </c>
      <c r="D162" s="468">
        <v>11</v>
      </c>
      <c r="E162" s="660">
        <v>0.9</v>
      </c>
      <c r="F162" s="468">
        <v>13</v>
      </c>
      <c r="G162" s="660">
        <f t="shared" si="16"/>
        <v>12.222222222222221</v>
      </c>
      <c r="H162" s="202">
        <v>4388</v>
      </c>
      <c r="I162" s="188">
        <v>17.9</v>
      </c>
      <c r="J162" s="178">
        <f t="shared" si="17"/>
        <v>3141.808</v>
      </c>
      <c r="K162" s="188">
        <f t="shared" si="18"/>
        <v>0.716</v>
      </c>
      <c r="L162" s="54"/>
      <c r="M162" s="54"/>
      <c r="O162" s="101"/>
      <c r="P162" s="101"/>
      <c r="Q162" s="101"/>
      <c r="R162" s="101"/>
      <c r="S162" s="101"/>
    </row>
    <row r="163" spans="1:19" ht="13.5">
      <c r="A163" s="34"/>
      <c r="B163" s="10" t="s">
        <v>42</v>
      </c>
      <c r="C163" s="15">
        <v>30</v>
      </c>
      <c r="D163" s="468">
        <v>11</v>
      </c>
      <c r="E163" s="660">
        <v>0.9</v>
      </c>
      <c r="F163" s="468">
        <v>13</v>
      </c>
      <c r="G163" s="660">
        <f t="shared" si="16"/>
        <v>12.222222222222221</v>
      </c>
      <c r="H163" s="202">
        <v>11738</v>
      </c>
      <c r="I163" s="188">
        <v>21.4</v>
      </c>
      <c r="J163" s="178">
        <f t="shared" si="17"/>
        <v>8373.106666666667</v>
      </c>
      <c r="K163" s="188">
        <f t="shared" si="18"/>
        <v>0.7133333333333333</v>
      </c>
      <c r="L163" s="54"/>
      <c r="M163" s="54"/>
      <c r="O163" s="101"/>
      <c r="P163" s="101"/>
      <c r="Q163" s="101"/>
      <c r="R163" s="101"/>
      <c r="S163" s="101"/>
    </row>
    <row r="164" spans="1:19" ht="13.5">
      <c r="A164" s="34"/>
      <c r="B164" s="10" t="s">
        <v>42</v>
      </c>
      <c r="C164" s="15">
        <v>40</v>
      </c>
      <c r="D164" s="468">
        <v>11</v>
      </c>
      <c r="E164" s="660">
        <v>0.9</v>
      </c>
      <c r="F164" s="468">
        <v>13</v>
      </c>
      <c r="G164" s="660">
        <f t="shared" si="16"/>
        <v>12.222222222222221</v>
      </c>
      <c r="H164" s="202">
        <v>2621</v>
      </c>
      <c r="I164" s="188">
        <v>26.9</v>
      </c>
      <c r="J164" s="178">
        <f t="shared" si="17"/>
        <v>1762.6225</v>
      </c>
      <c r="K164" s="188">
        <f t="shared" si="18"/>
        <v>0.6725</v>
      </c>
      <c r="L164" s="54"/>
      <c r="M164" s="54"/>
      <c r="O164" s="101"/>
      <c r="P164" s="101"/>
      <c r="Q164" s="101"/>
      <c r="R164" s="101"/>
      <c r="S164" s="101"/>
    </row>
    <row r="165" spans="1:19" ht="13.5">
      <c r="A165" s="34"/>
      <c r="B165" s="10" t="s">
        <v>536</v>
      </c>
      <c r="C165" s="15">
        <v>50</v>
      </c>
      <c r="D165" s="468">
        <v>11</v>
      </c>
      <c r="E165" s="660">
        <v>0.9</v>
      </c>
      <c r="F165" s="468">
        <v>13</v>
      </c>
      <c r="G165" s="660">
        <f t="shared" si="16"/>
        <v>12.222222222222221</v>
      </c>
      <c r="H165" s="202">
        <v>1879</v>
      </c>
      <c r="I165" s="188">
        <v>35.3</v>
      </c>
      <c r="J165" s="178">
        <f t="shared" si="17"/>
        <v>1326.5739999999998</v>
      </c>
      <c r="K165" s="188">
        <f t="shared" si="18"/>
        <v>0.706</v>
      </c>
      <c r="L165" s="54"/>
      <c r="M165" s="54"/>
      <c r="O165" s="101"/>
      <c r="P165" s="101"/>
      <c r="Q165" s="101"/>
      <c r="R165" s="101"/>
      <c r="S165" s="101"/>
    </row>
    <row r="166" spans="1:19" ht="13.5">
      <c r="A166" s="53" t="s">
        <v>145</v>
      </c>
      <c r="B166" s="6"/>
      <c r="C166" s="7"/>
      <c r="D166" s="180"/>
      <c r="E166" s="180"/>
      <c r="F166" s="181"/>
      <c r="G166" s="177"/>
      <c r="H166" s="631" t="s">
        <v>145</v>
      </c>
      <c r="I166" s="633">
        <f>SUM(H167:H181)</f>
        <v>190354</v>
      </c>
      <c r="J166" s="632"/>
      <c r="K166" s="632"/>
      <c r="L166" s="54"/>
      <c r="M166" s="54"/>
      <c r="O166" s="101"/>
      <c r="P166" s="101"/>
      <c r="Q166" s="101"/>
      <c r="R166" s="101"/>
      <c r="S166" s="101"/>
    </row>
    <row r="167" spans="1:19" ht="13.5">
      <c r="A167" s="49"/>
      <c r="B167" s="10" t="s">
        <v>209</v>
      </c>
      <c r="C167" s="15">
        <v>20</v>
      </c>
      <c r="D167" s="198">
        <v>12</v>
      </c>
      <c r="E167" s="660">
        <v>0.9</v>
      </c>
      <c r="F167" s="193">
        <v>13</v>
      </c>
      <c r="G167" s="660">
        <f>D171/E167</f>
        <v>12.222222222222221</v>
      </c>
      <c r="H167" s="202">
        <v>69580</v>
      </c>
      <c r="I167" s="197">
        <v>13.8</v>
      </c>
      <c r="J167" s="178">
        <f aca="true" t="shared" si="19" ref="J167:J180">H167*I167/C167</f>
        <v>48010.2</v>
      </c>
      <c r="K167" s="188">
        <f aca="true" t="shared" si="20" ref="K167:K180">I167/C167</f>
        <v>0.6900000000000001</v>
      </c>
      <c r="L167" s="54"/>
      <c r="M167" s="54"/>
      <c r="N167" s="101"/>
      <c r="O167" s="101"/>
      <c r="P167" s="101"/>
      <c r="Q167" s="101"/>
      <c r="R167" s="101"/>
      <c r="S167" s="101"/>
    </row>
    <row r="168" spans="1:19" ht="13.5">
      <c r="A168" s="49"/>
      <c r="B168" s="10" t="s">
        <v>696</v>
      </c>
      <c r="C168" s="15">
        <v>20</v>
      </c>
      <c r="D168" s="468">
        <v>12</v>
      </c>
      <c r="E168" s="660">
        <v>0.9</v>
      </c>
      <c r="F168" s="193">
        <v>13</v>
      </c>
      <c r="G168" s="660">
        <f aca="true" t="shared" si="21" ref="G168:G181">D168/E168</f>
        <v>13.333333333333332</v>
      </c>
      <c r="H168" s="202">
        <v>31654</v>
      </c>
      <c r="I168" s="197">
        <v>13</v>
      </c>
      <c r="J168" s="178">
        <f t="shared" si="19"/>
        <v>20575.1</v>
      </c>
      <c r="K168" s="188">
        <f t="shared" si="20"/>
        <v>0.65</v>
      </c>
      <c r="L168" s="54"/>
      <c r="M168" s="54"/>
      <c r="O168" s="101"/>
      <c r="P168" s="101"/>
      <c r="Q168" s="101"/>
      <c r="R168" s="101"/>
      <c r="S168" s="101"/>
    </row>
    <row r="169" spans="1:19" ht="13.5">
      <c r="A169" s="49"/>
      <c r="B169" s="10" t="s">
        <v>209</v>
      </c>
      <c r="C169" s="15">
        <v>25</v>
      </c>
      <c r="D169" s="468">
        <v>12</v>
      </c>
      <c r="E169" s="660">
        <v>0.9</v>
      </c>
      <c r="F169" s="193">
        <v>13</v>
      </c>
      <c r="G169" s="660">
        <f t="shared" si="21"/>
        <v>13.333333333333332</v>
      </c>
      <c r="H169" s="202">
        <v>11666</v>
      </c>
      <c r="I169" s="197">
        <v>17.3</v>
      </c>
      <c r="J169" s="178">
        <f t="shared" si="19"/>
        <v>8072.872</v>
      </c>
      <c r="K169" s="188">
        <f t="shared" si="20"/>
        <v>0.6920000000000001</v>
      </c>
      <c r="L169" s="54"/>
      <c r="M169" s="54"/>
      <c r="O169" s="101"/>
      <c r="P169" s="101"/>
      <c r="Q169" s="101"/>
      <c r="R169" s="101"/>
      <c r="S169" s="101"/>
    </row>
    <row r="170" spans="1:19" ht="13.5">
      <c r="A170" s="49"/>
      <c r="B170" s="10" t="s">
        <v>209</v>
      </c>
      <c r="C170" s="15">
        <v>26</v>
      </c>
      <c r="D170" s="468">
        <v>12</v>
      </c>
      <c r="E170" s="660">
        <v>0.9</v>
      </c>
      <c r="F170" s="193">
        <v>13</v>
      </c>
      <c r="G170" s="660">
        <f t="shared" si="21"/>
        <v>13.333333333333332</v>
      </c>
      <c r="H170" s="202">
        <v>3477</v>
      </c>
      <c r="I170" s="197">
        <v>17.3</v>
      </c>
      <c r="J170" s="178">
        <f t="shared" si="19"/>
        <v>2313.542307692308</v>
      </c>
      <c r="K170" s="188">
        <f t="shared" si="20"/>
        <v>0.6653846153846155</v>
      </c>
      <c r="L170" s="54"/>
      <c r="M170" s="54"/>
      <c r="O170" s="101"/>
      <c r="P170" s="101"/>
      <c r="Q170" s="101"/>
      <c r="R170" s="101"/>
      <c r="S170" s="101"/>
    </row>
    <row r="171" spans="1:19" ht="13.5">
      <c r="A171" s="49"/>
      <c r="B171" s="10" t="s">
        <v>209</v>
      </c>
      <c r="C171" s="15">
        <v>30</v>
      </c>
      <c r="D171" s="873">
        <v>11</v>
      </c>
      <c r="E171" s="660">
        <v>0.9</v>
      </c>
      <c r="F171" s="193">
        <v>13</v>
      </c>
      <c r="G171" s="660">
        <f t="shared" si="21"/>
        <v>12.222222222222221</v>
      </c>
      <c r="H171" s="202">
        <v>31189</v>
      </c>
      <c r="I171" s="197">
        <v>20.7</v>
      </c>
      <c r="J171" s="178">
        <f t="shared" si="19"/>
        <v>21520.409999999996</v>
      </c>
      <c r="K171" s="188">
        <f t="shared" si="20"/>
        <v>0.69</v>
      </c>
      <c r="L171" s="54"/>
      <c r="M171" s="54"/>
      <c r="O171" s="101"/>
      <c r="P171" s="101"/>
      <c r="Q171" s="101"/>
      <c r="R171" s="101"/>
      <c r="S171" s="101"/>
    </row>
    <row r="172" spans="1:19" ht="13.5">
      <c r="A172" s="49"/>
      <c r="B172" s="10" t="s">
        <v>207</v>
      </c>
      <c r="C172" s="15">
        <v>20</v>
      </c>
      <c r="D172" s="468">
        <v>9</v>
      </c>
      <c r="E172" s="660">
        <v>0.8</v>
      </c>
      <c r="F172" s="193">
        <v>9</v>
      </c>
      <c r="G172" s="660">
        <f t="shared" si="21"/>
        <v>11.25</v>
      </c>
      <c r="H172" s="202">
        <v>14368</v>
      </c>
      <c r="I172" s="197">
        <v>13.8</v>
      </c>
      <c r="J172" s="178">
        <f>H172*I172/C173</f>
        <v>7931.136000000001</v>
      </c>
      <c r="K172" s="188">
        <f>I172/C173</f>
        <v>0.552</v>
      </c>
      <c r="L172" s="54"/>
      <c r="M172" s="54"/>
      <c r="O172" s="101"/>
      <c r="P172" s="101"/>
      <c r="Q172" s="101"/>
      <c r="R172" s="101"/>
      <c r="S172" s="101"/>
    </row>
    <row r="173" spans="1:19" ht="13.5">
      <c r="A173" s="49"/>
      <c r="B173" s="10" t="s">
        <v>207</v>
      </c>
      <c r="C173" s="15">
        <v>25</v>
      </c>
      <c r="D173" s="468">
        <v>9</v>
      </c>
      <c r="E173" s="660">
        <v>0.8</v>
      </c>
      <c r="F173" s="193">
        <v>9</v>
      </c>
      <c r="G173" s="660">
        <f t="shared" si="21"/>
        <v>11.25</v>
      </c>
      <c r="H173" s="202">
        <v>1183</v>
      </c>
      <c r="I173" s="197">
        <v>17.3</v>
      </c>
      <c r="J173" s="178">
        <f>H173*I173/C172</f>
        <v>1023.2950000000001</v>
      </c>
      <c r="K173" s="188">
        <f>I173/C172</f>
        <v>0.865</v>
      </c>
      <c r="L173" s="54"/>
      <c r="M173" s="54"/>
      <c r="O173" s="101"/>
      <c r="P173" s="101"/>
      <c r="Q173" s="101"/>
      <c r="R173" s="101"/>
      <c r="S173" s="101"/>
    </row>
    <row r="174" spans="1:19" ht="13.5">
      <c r="A174" s="49"/>
      <c r="B174" s="10" t="s">
        <v>207</v>
      </c>
      <c r="C174" s="15">
        <v>26</v>
      </c>
      <c r="D174" s="468">
        <v>9</v>
      </c>
      <c r="E174" s="660">
        <v>0.8</v>
      </c>
      <c r="F174" s="193">
        <v>9</v>
      </c>
      <c r="G174" s="660">
        <f t="shared" si="21"/>
        <v>11.25</v>
      </c>
      <c r="H174" s="202">
        <v>474</v>
      </c>
      <c r="I174" s="197">
        <v>17.3</v>
      </c>
      <c r="J174" s="178">
        <f>H174*I174/C174</f>
        <v>315.3923076923077</v>
      </c>
      <c r="K174" s="188">
        <f>I174/C174</f>
        <v>0.6653846153846155</v>
      </c>
      <c r="L174" s="54"/>
      <c r="M174" s="54"/>
      <c r="O174" s="101"/>
      <c r="P174" s="101"/>
      <c r="Q174" s="101"/>
      <c r="R174" s="101"/>
      <c r="S174" s="101"/>
    </row>
    <row r="175" spans="1:19" ht="13.5">
      <c r="A175" s="49"/>
      <c r="B175" s="10" t="s">
        <v>207</v>
      </c>
      <c r="C175" s="15">
        <v>30</v>
      </c>
      <c r="D175" s="468">
        <v>9</v>
      </c>
      <c r="E175" s="660">
        <v>0.8</v>
      </c>
      <c r="F175" s="193">
        <v>9</v>
      </c>
      <c r="G175" s="660">
        <f t="shared" si="21"/>
        <v>11.25</v>
      </c>
      <c r="H175" s="202">
        <v>5770</v>
      </c>
      <c r="I175" s="197">
        <v>20.7</v>
      </c>
      <c r="J175" s="178">
        <f t="shared" si="19"/>
        <v>3981.3</v>
      </c>
      <c r="K175" s="188">
        <f t="shared" si="20"/>
        <v>0.69</v>
      </c>
      <c r="L175" s="54"/>
      <c r="M175" s="54"/>
      <c r="O175" s="101"/>
      <c r="P175" s="101"/>
      <c r="Q175" s="101"/>
      <c r="R175" s="101"/>
      <c r="S175" s="101"/>
    </row>
    <row r="176" spans="1:19" ht="13.5">
      <c r="A176" s="49"/>
      <c r="B176" s="10" t="s">
        <v>697</v>
      </c>
      <c r="C176" s="15">
        <v>20</v>
      </c>
      <c r="D176" s="468">
        <v>9</v>
      </c>
      <c r="E176" s="660">
        <v>0.8</v>
      </c>
      <c r="F176" s="193">
        <v>9</v>
      </c>
      <c r="G176" s="660">
        <f t="shared" si="21"/>
        <v>11.25</v>
      </c>
      <c r="H176" s="202">
        <v>5008</v>
      </c>
      <c r="I176" s="197">
        <v>13</v>
      </c>
      <c r="J176" s="178">
        <f>H176*I176/C176</f>
        <v>3255.2</v>
      </c>
      <c r="K176" s="188">
        <f>I176/C176</f>
        <v>0.65</v>
      </c>
      <c r="L176" s="54"/>
      <c r="M176" s="54"/>
      <c r="O176" s="101"/>
      <c r="P176" s="101"/>
      <c r="Q176" s="101"/>
      <c r="R176" s="101"/>
      <c r="S176" s="101"/>
    </row>
    <row r="177" spans="1:19" ht="13.5">
      <c r="A177" s="49"/>
      <c r="B177" s="10" t="s">
        <v>210</v>
      </c>
      <c r="C177" s="15">
        <v>20</v>
      </c>
      <c r="D177" s="468">
        <v>11</v>
      </c>
      <c r="E177" s="660">
        <v>0.9</v>
      </c>
      <c r="F177" s="193">
        <v>13</v>
      </c>
      <c r="G177" s="660">
        <f t="shared" si="21"/>
        <v>12.222222222222221</v>
      </c>
      <c r="H177" s="202">
        <v>7364</v>
      </c>
      <c r="I177" s="197">
        <v>13.8</v>
      </c>
      <c r="J177" s="178">
        <f t="shared" si="19"/>
        <v>5081.160000000001</v>
      </c>
      <c r="K177" s="188">
        <f t="shared" si="20"/>
        <v>0.6900000000000001</v>
      </c>
      <c r="L177" s="54"/>
      <c r="M177" s="54"/>
      <c r="O177" s="101"/>
      <c r="P177" s="101"/>
      <c r="Q177" s="101"/>
      <c r="R177" s="101"/>
      <c r="S177" s="101"/>
    </row>
    <row r="178" spans="1:19" ht="13.5">
      <c r="A178" s="753"/>
      <c r="B178" s="10" t="s">
        <v>210</v>
      </c>
      <c r="C178" s="15">
        <v>25</v>
      </c>
      <c r="D178" s="468">
        <v>11</v>
      </c>
      <c r="E178" s="660">
        <v>0.9</v>
      </c>
      <c r="F178" s="193">
        <v>13</v>
      </c>
      <c r="G178" s="660">
        <f t="shared" si="21"/>
        <v>12.222222222222221</v>
      </c>
      <c r="H178" s="202">
        <v>714</v>
      </c>
      <c r="I178" s="197">
        <v>17.3</v>
      </c>
      <c r="J178" s="178">
        <f t="shared" si="19"/>
        <v>494.088</v>
      </c>
      <c r="K178" s="188">
        <f t="shared" si="20"/>
        <v>0.6920000000000001</v>
      </c>
      <c r="L178" s="54"/>
      <c r="M178" s="54"/>
      <c r="O178" s="101"/>
      <c r="P178" s="101"/>
      <c r="Q178" s="101"/>
      <c r="R178" s="101"/>
      <c r="S178" s="101"/>
    </row>
    <row r="179" spans="1:19" ht="13.5">
      <c r="A179" s="753"/>
      <c r="B179" s="10" t="s">
        <v>210</v>
      </c>
      <c r="C179" s="15">
        <v>26</v>
      </c>
      <c r="D179" s="468">
        <v>11</v>
      </c>
      <c r="E179" s="660">
        <v>0.9</v>
      </c>
      <c r="F179" s="193">
        <v>13</v>
      </c>
      <c r="G179" s="660">
        <f t="shared" si="21"/>
        <v>12.222222222222221</v>
      </c>
      <c r="H179" s="202">
        <v>391</v>
      </c>
      <c r="I179" s="197">
        <v>17.3</v>
      </c>
      <c r="J179" s="178">
        <f>H179*I179/C179</f>
        <v>260.1653846153846</v>
      </c>
      <c r="K179" s="188">
        <f>I179/C179</f>
        <v>0.6653846153846155</v>
      </c>
      <c r="L179" s="54"/>
      <c r="M179" s="54"/>
      <c r="O179" s="101"/>
      <c r="P179" s="101"/>
      <c r="Q179" s="101"/>
      <c r="R179" s="101"/>
      <c r="S179" s="101"/>
    </row>
    <row r="180" spans="1:19" ht="12.75">
      <c r="A180" s="62"/>
      <c r="B180" s="10" t="s">
        <v>210</v>
      </c>
      <c r="C180" s="15">
        <v>30</v>
      </c>
      <c r="D180" s="468">
        <v>11</v>
      </c>
      <c r="E180" s="660">
        <v>0.9</v>
      </c>
      <c r="F180" s="193">
        <v>13</v>
      </c>
      <c r="G180" s="660">
        <f t="shared" si="21"/>
        <v>12.222222222222221</v>
      </c>
      <c r="H180" s="202">
        <v>4334</v>
      </c>
      <c r="I180" s="197">
        <v>20.7</v>
      </c>
      <c r="J180" s="178">
        <f t="shared" si="19"/>
        <v>2990.46</v>
      </c>
      <c r="K180" s="188">
        <f t="shared" si="20"/>
        <v>0.69</v>
      </c>
      <c r="L180" s="54"/>
      <c r="M180" s="54"/>
      <c r="O180" s="101"/>
      <c r="P180" s="101"/>
      <c r="Q180" s="101"/>
      <c r="R180" s="101"/>
      <c r="S180" s="101"/>
    </row>
    <row r="181" spans="1:19" ht="12.75">
      <c r="A181" s="62"/>
      <c r="B181" s="10" t="s">
        <v>698</v>
      </c>
      <c r="C181" s="15">
        <v>20</v>
      </c>
      <c r="D181" s="468">
        <v>11</v>
      </c>
      <c r="E181" s="660">
        <v>0.9</v>
      </c>
      <c r="F181" s="193">
        <v>13</v>
      </c>
      <c r="G181" s="660">
        <f t="shared" si="21"/>
        <v>12.222222222222221</v>
      </c>
      <c r="H181" s="202">
        <v>3182</v>
      </c>
      <c r="I181" s="197">
        <v>13</v>
      </c>
      <c r="J181" s="178">
        <f>H181*I181/C181</f>
        <v>2068.3</v>
      </c>
      <c r="K181" s="188">
        <f>I181/C181</f>
        <v>0.65</v>
      </c>
      <c r="L181" s="54"/>
      <c r="M181" s="54"/>
      <c r="O181" s="101"/>
      <c r="P181" s="101"/>
      <c r="Q181" s="101"/>
      <c r="R181" s="101"/>
      <c r="S181" s="101"/>
    </row>
    <row r="182" spans="1:19" ht="13.5">
      <c r="A182" s="53" t="s">
        <v>53</v>
      </c>
      <c r="B182" s="6"/>
      <c r="C182" s="7"/>
      <c r="D182" s="182"/>
      <c r="E182" s="180"/>
      <c r="F182" s="181"/>
      <c r="G182" s="180"/>
      <c r="H182" s="633" t="s">
        <v>630</v>
      </c>
      <c r="I182" s="633">
        <f>SUM(H183:H185)</f>
        <v>2194</v>
      </c>
      <c r="J182" s="627"/>
      <c r="K182" s="627"/>
      <c r="L182" s="54"/>
      <c r="M182" s="54"/>
      <c r="O182" s="101"/>
      <c r="P182" s="101"/>
      <c r="Q182" s="101"/>
      <c r="R182" s="101"/>
      <c r="S182" s="101"/>
    </row>
    <row r="183" spans="1:19" ht="13.5">
      <c r="A183" s="34" t="s">
        <v>53</v>
      </c>
      <c r="B183" s="10" t="s">
        <v>39</v>
      </c>
      <c r="C183" s="15">
        <v>20</v>
      </c>
      <c r="D183" s="468">
        <v>9</v>
      </c>
      <c r="E183" s="660">
        <v>0.9</v>
      </c>
      <c r="F183" s="468">
        <v>9</v>
      </c>
      <c r="G183" s="660">
        <f>D183/E183</f>
        <v>10</v>
      </c>
      <c r="H183" s="202">
        <v>2</v>
      </c>
      <c r="I183" s="197">
        <v>15.9</v>
      </c>
      <c r="J183" s="178">
        <f>H183*I183/C183</f>
        <v>1.59</v>
      </c>
      <c r="K183" s="188">
        <f>I183/C183</f>
        <v>0.795</v>
      </c>
      <c r="L183" s="54"/>
      <c r="M183" s="54"/>
      <c r="O183" s="101"/>
      <c r="P183" s="101"/>
      <c r="Q183" s="101"/>
      <c r="R183" s="101"/>
      <c r="S183" s="101"/>
    </row>
    <row r="184" spans="1:19" ht="13.5">
      <c r="A184" s="49" t="s">
        <v>62</v>
      </c>
      <c r="B184" s="10" t="s">
        <v>47</v>
      </c>
      <c r="C184" s="15">
        <v>20</v>
      </c>
      <c r="D184" s="178">
        <v>10</v>
      </c>
      <c r="E184" s="177">
        <v>0.8</v>
      </c>
      <c r="F184" s="91">
        <v>10</v>
      </c>
      <c r="G184" s="660">
        <f>D184/E184</f>
        <v>12.5</v>
      </c>
      <c r="H184" s="202">
        <v>2030</v>
      </c>
      <c r="I184" s="196">
        <v>15.9</v>
      </c>
      <c r="J184" s="178">
        <f>H184*I184/C184</f>
        <v>1613.85</v>
      </c>
      <c r="K184" s="188">
        <f>I184/C184</f>
        <v>0.795</v>
      </c>
      <c r="L184" s="54"/>
      <c r="M184" s="54"/>
      <c r="O184" s="101"/>
      <c r="P184" s="101"/>
      <c r="Q184" s="101"/>
      <c r="R184" s="101"/>
      <c r="S184" s="101"/>
    </row>
    <row r="185" spans="1:19" ht="13.5">
      <c r="A185" s="38"/>
      <c r="B185" s="10" t="s">
        <v>47</v>
      </c>
      <c r="C185" s="19">
        <v>25</v>
      </c>
      <c r="D185" s="177">
        <v>10</v>
      </c>
      <c r="E185" s="177">
        <v>0.8</v>
      </c>
      <c r="F185" s="91">
        <v>10</v>
      </c>
      <c r="G185" s="660">
        <f>D185/E185</f>
        <v>12.5</v>
      </c>
      <c r="H185" s="898">
        <v>162</v>
      </c>
      <c r="I185" s="853">
        <v>19.4</v>
      </c>
      <c r="J185" s="178">
        <f>H185*I185/C185</f>
        <v>125.71199999999999</v>
      </c>
      <c r="K185" s="188">
        <f>I185/C185</f>
        <v>0.7759999999999999</v>
      </c>
      <c r="L185" s="54"/>
      <c r="M185" s="54"/>
      <c r="O185" s="101"/>
      <c r="P185" s="101"/>
      <c r="Q185" s="101"/>
      <c r="R185" s="101"/>
      <c r="S185" s="101"/>
    </row>
    <row r="186" spans="1:19" ht="13.5">
      <c r="A186" s="53" t="s">
        <v>465</v>
      </c>
      <c r="B186" s="6"/>
      <c r="C186" s="7"/>
      <c r="D186" s="1150"/>
      <c r="E186" s="1151"/>
      <c r="F186" s="181"/>
      <c r="G186" s="630"/>
      <c r="H186" s="631" t="s">
        <v>465</v>
      </c>
      <c r="I186" s="633">
        <f>SUM(H187:H190)</f>
        <v>5501</v>
      </c>
      <c r="J186" s="1152"/>
      <c r="K186" s="1152"/>
      <c r="L186" s="54"/>
      <c r="M186" s="54"/>
      <c r="O186" s="101"/>
      <c r="P186" s="101"/>
      <c r="Q186" s="101"/>
      <c r="R186" s="101"/>
      <c r="S186" s="101"/>
    </row>
    <row r="187" spans="1:19" ht="13.5">
      <c r="A187" s="34"/>
      <c r="B187" s="10" t="s">
        <v>211</v>
      </c>
      <c r="C187" s="15">
        <v>25</v>
      </c>
      <c r="D187" s="468">
        <v>8</v>
      </c>
      <c r="E187" s="660">
        <v>0.7</v>
      </c>
      <c r="F187" s="193">
        <v>9</v>
      </c>
      <c r="G187" s="660">
        <f>D187/E187</f>
        <v>11.428571428571429</v>
      </c>
      <c r="H187" s="202">
        <v>567</v>
      </c>
      <c r="I187" s="195">
        <v>17.3</v>
      </c>
      <c r="J187" s="178">
        <f aca="true" t="shared" si="22" ref="J187:J194">H187*I187/C187</f>
        <v>392.36400000000003</v>
      </c>
      <c r="K187" s="188">
        <f aca="true" t="shared" si="23" ref="K187:K194">I187/C187</f>
        <v>0.6920000000000001</v>
      </c>
      <c r="L187" s="54"/>
      <c r="M187" s="54"/>
      <c r="O187" s="101"/>
      <c r="P187" s="101"/>
      <c r="Q187" s="101"/>
      <c r="R187" s="101"/>
      <c r="S187" s="101"/>
    </row>
    <row r="188" spans="1:19" ht="15.75">
      <c r="A188" s="34"/>
      <c r="B188" s="10" t="s">
        <v>564</v>
      </c>
      <c r="C188" s="15">
        <v>50</v>
      </c>
      <c r="D188" s="468">
        <v>8</v>
      </c>
      <c r="E188" s="660">
        <v>0.7</v>
      </c>
      <c r="F188" s="193">
        <v>9</v>
      </c>
      <c r="G188" s="660">
        <f>D188/E188</f>
        <v>11.428571428571429</v>
      </c>
      <c r="H188" s="202">
        <v>318</v>
      </c>
      <c r="I188" s="195">
        <v>34.4</v>
      </c>
      <c r="J188" s="178">
        <f t="shared" si="22"/>
        <v>218.784</v>
      </c>
      <c r="K188" s="188">
        <f t="shared" si="23"/>
        <v>0.688</v>
      </c>
      <c r="L188" s="54"/>
      <c r="M188" s="54"/>
      <c r="N188" s="1210"/>
      <c r="O188" s="101"/>
      <c r="P188" s="101"/>
      <c r="Q188" s="101"/>
      <c r="R188" s="101"/>
      <c r="S188" s="101"/>
    </row>
    <row r="189" spans="1:19" ht="13.5">
      <c r="A189" s="34"/>
      <c r="B189" s="10" t="s">
        <v>36</v>
      </c>
      <c r="C189" s="15">
        <v>25</v>
      </c>
      <c r="D189" s="660">
        <v>12</v>
      </c>
      <c r="E189" s="660">
        <v>1</v>
      </c>
      <c r="F189" s="660">
        <v>14</v>
      </c>
      <c r="G189" s="660">
        <f>D189/E189</f>
        <v>12</v>
      </c>
      <c r="H189" s="202">
        <v>2446</v>
      </c>
      <c r="I189" s="195">
        <v>17.3</v>
      </c>
      <c r="J189" s="178">
        <f t="shared" si="22"/>
        <v>1692.632</v>
      </c>
      <c r="K189" s="188">
        <f t="shared" si="23"/>
        <v>0.6920000000000001</v>
      </c>
      <c r="L189" s="54"/>
      <c r="M189" s="54"/>
      <c r="N189" s="58"/>
      <c r="O189" s="101"/>
      <c r="P189" s="101"/>
      <c r="Q189" s="101"/>
      <c r="R189" s="101"/>
      <c r="S189" s="101"/>
    </row>
    <row r="190" spans="1:19" ht="13.5">
      <c r="A190" s="34"/>
      <c r="B190" s="10" t="s">
        <v>876</v>
      </c>
      <c r="C190" s="15">
        <v>50</v>
      </c>
      <c r="D190" s="660">
        <v>12</v>
      </c>
      <c r="E190" s="660">
        <v>1</v>
      </c>
      <c r="F190" s="660">
        <v>14</v>
      </c>
      <c r="G190" s="1142">
        <f>D190/E190</f>
        <v>12</v>
      </c>
      <c r="H190" s="1147">
        <v>2170</v>
      </c>
      <c r="I190" s="1082">
        <v>34.4</v>
      </c>
      <c r="J190" s="178">
        <f>H190*I190/C190</f>
        <v>1492.96</v>
      </c>
      <c r="K190" s="188">
        <f>I190/C190</f>
        <v>0.688</v>
      </c>
      <c r="L190" s="54"/>
      <c r="M190" s="54"/>
      <c r="N190" s="58"/>
      <c r="O190" s="101"/>
      <c r="P190" s="101"/>
      <c r="Q190" s="101"/>
      <c r="R190" s="101"/>
      <c r="S190" s="101"/>
    </row>
    <row r="191" spans="1:19" ht="15.75">
      <c r="A191" s="37" t="s">
        <v>1</v>
      </c>
      <c r="B191" s="6" t="s">
        <v>169</v>
      </c>
      <c r="C191" s="7"/>
      <c r="D191" s="179"/>
      <c r="E191" s="180"/>
      <c r="F191" s="181"/>
      <c r="G191" s="188"/>
      <c r="H191" s="201" t="s">
        <v>631</v>
      </c>
      <c r="I191" s="1154">
        <f>SUM(H192:H195)</f>
        <v>2080</v>
      </c>
      <c r="J191" s="182"/>
      <c r="K191" s="630"/>
      <c r="L191" s="54"/>
      <c r="M191" s="54"/>
      <c r="N191" s="1210"/>
      <c r="O191" s="101"/>
      <c r="P191" s="101"/>
      <c r="Q191" s="101"/>
      <c r="R191" s="101"/>
      <c r="S191" s="101"/>
    </row>
    <row r="192" spans="1:19" ht="13.5">
      <c r="A192" s="34" t="s">
        <v>63</v>
      </c>
      <c r="B192" s="10" t="s">
        <v>64</v>
      </c>
      <c r="C192" s="15">
        <v>20</v>
      </c>
      <c r="D192" s="468">
        <v>10</v>
      </c>
      <c r="E192" s="660">
        <v>0.9</v>
      </c>
      <c r="F192" s="468">
        <v>10</v>
      </c>
      <c r="G192" s="660">
        <f>D192/E192</f>
        <v>11.11111111111111</v>
      </c>
      <c r="H192" s="202">
        <v>321</v>
      </c>
      <c r="I192" s="195">
        <v>16.5</v>
      </c>
      <c r="J192" s="178">
        <f t="shared" si="22"/>
        <v>264.825</v>
      </c>
      <c r="K192" s="188">
        <f t="shared" si="23"/>
        <v>0.825</v>
      </c>
      <c r="L192" s="54"/>
      <c r="M192" s="54"/>
      <c r="O192" s="101"/>
      <c r="P192" s="101"/>
      <c r="Q192" s="101"/>
      <c r="R192" s="101"/>
      <c r="S192" s="101"/>
    </row>
    <row r="193" spans="1:19" ht="13.5">
      <c r="A193" s="34"/>
      <c r="B193" s="10" t="s">
        <v>211</v>
      </c>
      <c r="C193" s="15">
        <v>20</v>
      </c>
      <c r="D193" s="468">
        <v>7</v>
      </c>
      <c r="E193" s="660">
        <v>0.7</v>
      </c>
      <c r="F193" s="468">
        <v>7</v>
      </c>
      <c r="G193" s="660">
        <f>D193/E193</f>
        <v>10</v>
      </c>
      <c r="H193" s="202">
        <v>583</v>
      </c>
      <c r="I193" s="195">
        <v>16.5</v>
      </c>
      <c r="J193" s="178">
        <f t="shared" si="22"/>
        <v>480.975</v>
      </c>
      <c r="K193" s="188">
        <f t="shared" si="23"/>
        <v>0.825</v>
      </c>
      <c r="L193" s="54"/>
      <c r="M193" s="54"/>
      <c r="O193" s="101"/>
      <c r="P193" s="101"/>
      <c r="Q193" s="101"/>
      <c r="R193" s="101"/>
      <c r="S193" s="101"/>
    </row>
    <row r="194" spans="1:19" ht="13.5">
      <c r="A194" s="34"/>
      <c r="B194" s="10" t="s">
        <v>212</v>
      </c>
      <c r="C194" s="15">
        <v>20</v>
      </c>
      <c r="D194" s="468">
        <v>9</v>
      </c>
      <c r="E194" s="660">
        <v>0.8</v>
      </c>
      <c r="F194" s="468">
        <v>8</v>
      </c>
      <c r="G194" s="660">
        <f>D194/E194</f>
        <v>11.25</v>
      </c>
      <c r="H194" s="202">
        <v>158</v>
      </c>
      <c r="I194" s="195">
        <v>16.5</v>
      </c>
      <c r="J194" s="178">
        <f t="shared" si="22"/>
        <v>130.35</v>
      </c>
      <c r="K194" s="188">
        <f t="shared" si="23"/>
        <v>0.825</v>
      </c>
      <c r="L194" s="54"/>
      <c r="M194" s="54"/>
      <c r="O194" s="101"/>
      <c r="P194" s="101"/>
      <c r="Q194" s="101"/>
      <c r="R194" s="101"/>
      <c r="S194" s="101"/>
    </row>
    <row r="195" spans="1:19" ht="13.5">
      <c r="A195" s="34" t="s">
        <v>538</v>
      </c>
      <c r="B195" s="10" t="s">
        <v>539</v>
      </c>
      <c r="C195" s="15">
        <v>20</v>
      </c>
      <c r="D195" s="468">
        <v>11</v>
      </c>
      <c r="E195" s="660">
        <v>0.8</v>
      </c>
      <c r="F195" s="468">
        <v>14</v>
      </c>
      <c r="G195" s="660">
        <f>D195/E195</f>
        <v>13.75</v>
      </c>
      <c r="H195" s="202">
        <v>1018</v>
      </c>
      <c r="I195" s="195">
        <v>13.4</v>
      </c>
      <c r="J195" s="178">
        <f>H195*I195/C195</f>
        <v>682.0600000000001</v>
      </c>
      <c r="K195" s="188">
        <f>I195/C195</f>
        <v>0.67</v>
      </c>
      <c r="L195" s="54"/>
      <c r="M195" s="54"/>
      <c r="O195" s="101"/>
      <c r="P195" s="101"/>
      <c r="Q195" s="101"/>
      <c r="R195" s="101"/>
      <c r="S195" s="101"/>
    </row>
    <row r="196" spans="1:19" ht="13.5">
      <c r="A196" s="5" t="s">
        <v>702</v>
      </c>
      <c r="B196" s="8"/>
      <c r="C196" s="52"/>
      <c r="D196" s="194">
        <f>SUMPRODUCT(D131:D195,$H131:$H195)/($H196)</f>
        <v>10.925665340336616</v>
      </c>
      <c r="E196" s="194">
        <f>SUMPRODUCT(E131:E195,$H131:$H195)/($H196)</f>
        <v>0.8807652054266497</v>
      </c>
      <c r="F196" s="194">
        <f>SUMPRODUCT(F131:F195,$H131:$H195)/(H196)</f>
        <v>12.380114319729302</v>
      </c>
      <c r="G196" s="194">
        <f>D196/E196</f>
        <v>12.404742232118645</v>
      </c>
      <c r="H196" s="203">
        <f>SUM(H131:H195)</f>
        <v>409903</v>
      </c>
      <c r="I196" s="1170">
        <f>SUM(I130,I142,I147,I166,I182,I186,I191)</f>
        <v>409903</v>
      </c>
      <c r="J196" s="1171">
        <f>SUM(J131:J195)</f>
        <v>284744.6637857142</v>
      </c>
      <c r="K196" s="752">
        <f>J196/H196</f>
        <v>0.694663527189882</v>
      </c>
      <c r="L196" s="54"/>
      <c r="M196" s="54"/>
      <c r="O196" s="101"/>
      <c r="P196" s="101"/>
      <c r="Q196" s="101"/>
      <c r="R196" s="101"/>
      <c r="S196" s="101"/>
    </row>
    <row r="197" spans="1:19" ht="13.5">
      <c r="A197" s="1164" t="s">
        <v>230</v>
      </c>
      <c r="B197" s="1003"/>
      <c r="C197" s="1163"/>
      <c r="D197" s="1165"/>
      <c r="E197" s="1165"/>
      <c r="F197" s="1165"/>
      <c r="G197" s="1165"/>
      <c r="H197" s="632">
        <f>H126+H196</f>
        <v>1855843</v>
      </c>
      <c r="I197" s="632">
        <f>I126+I196</f>
        <v>1855843</v>
      </c>
      <c r="J197" s="632">
        <f>J126+J196</f>
        <v>1336996.3398190474</v>
      </c>
      <c r="K197" s="888">
        <f>J197/H197</f>
        <v>0.7204253483829437</v>
      </c>
      <c r="L197" s="54"/>
      <c r="M197" s="54"/>
      <c r="O197" s="101"/>
      <c r="P197" s="101"/>
      <c r="Q197" s="101"/>
      <c r="R197" s="101"/>
      <c r="S197" s="101"/>
    </row>
    <row r="198" spans="1:19" ht="13.5">
      <c r="A198" s="1167" t="s">
        <v>629</v>
      </c>
      <c r="B198" s="649"/>
      <c r="C198" s="1168"/>
      <c r="D198" s="649"/>
      <c r="E198" s="649"/>
      <c r="F198" s="649"/>
      <c r="G198" s="691" t="s">
        <v>20</v>
      </c>
      <c r="H198" s="691">
        <f>H197+H235</f>
        <v>1985290</v>
      </c>
      <c r="I198" s="1169"/>
      <c r="J198" s="691">
        <f>J197+J235</f>
        <v>1432204.9918190474</v>
      </c>
      <c r="K198" s="841">
        <f>J198/H198</f>
        <v>0.7214084550967603</v>
      </c>
      <c r="L198" s="54"/>
      <c r="M198" s="54"/>
      <c r="O198" s="101"/>
      <c r="P198" s="101"/>
      <c r="Q198" s="101"/>
      <c r="R198" s="101"/>
      <c r="S198" s="101"/>
    </row>
    <row r="199" spans="1:19" ht="12.75">
      <c r="A199" s="837" t="s">
        <v>463</v>
      </c>
      <c r="B199" s="832"/>
      <c r="C199" s="833"/>
      <c r="D199" s="834"/>
      <c r="E199" s="834"/>
      <c r="F199" s="834"/>
      <c r="G199" s="834"/>
      <c r="H199" s="838"/>
      <c r="I199" s="835"/>
      <c r="J199" s="838"/>
      <c r="K199" s="838"/>
      <c r="L199" s="837"/>
      <c r="M199" s="101"/>
      <c r="O199" s="101"/>
      <c r="P199" s="101"/>
      <c r="Q199" s="101"/>
      <c r="R199" s="101"/>
      <c r="S199" s="101"/>
    </row>
    <row r="200" spans="1:19" ht="12.75">
      <c r="A200" s="837" t="s">
        <v>462</v>
      </c>
      <c r="B200" s="54"/>
      <c r="C200" s="54"/>
      <c r="D200" s="54"/>
      <c r="E200" s="54"/>
      <c r="F200" s="54"/>
      <c r="G200" s="54"/>
      <c r="H200" s="54"/>
      <c r="I200" s="835"/>
      <c r="J200" s="836"/>
      <c r="K200" s="836"/>
      <c r="L200" s="837"/>
      <c r="M200" s="837"/>
      <c r="O200" s="101"/>
      <c r="P200" s="101"/>
      <c r="Q200" s="101"/>
      <c r="R200" s="101"/>
      <c r="S200" s="101"/>
    </row>
    <row r="201" spans="1:19" ht="12.75">
      <c r="A201" s="837" t="s">
        <v>860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837"/>
      <c r="O201" s="101"/>
      <c r="P201" s="101"/>
      <c r="Q201" s="101"/>
      <c r="R201" s="101"/>
      <c r="S201" s="101"/>
    </row>
    <row r="202" spans="1:19" ht="12.75">
      <c r="A202" s="837" t="s">
        <v>626</v>
      </c>
      <c r="B202" s="832"/>
      <c r="C202" s="833"/>
      <c r="D202" s="834"/>
      <c r="E202" s="834"/>
      <c r="F202" s="834"/>
      <c r="G202" s="834"/>
      <c r="H202" s="838"/>
      <c r="I202" s="835"/>
      <c r="J202" s="836"/>
      <c r="K202" s="836"/>
      <c r="L202" s="837"/>
      <c r="M202" s="837"/>
      <c r="O202" s="101"/>
      <c r="P202" s="101"/>
      <c r="Q202" s="101"/>
      <c r="R202" s="101"/>
      <c r="S202" s="101"/>
    </row>
    <row r="203" spans="1:19" ht="12.75">
      <c r="A203" s="837"/>
      <c r="B203" s="832"/>
      <c r="C203" s="833"/>
      <c r="D203" s="834"/>
      <c r="E203" s="834"/>
      <c r="F203" s="834"/>
      <c r="G203" s="834"/>
      <c r="H203" s="838"/>
      <c r="I203" s="835"/>
      <c r="J203" s="836"/>
      <c r="K203" s="836"/>
      <c r="L203" s="837"/>
      <c r="M203" s="837"/>
      <c r="O203" s="101"/>
      <c r="P203" s="101"/>
      <c r="Q203" s="101"/>
      <c r="R203" s="101"/>
      <c r="S203" s="101"/>
    </row>
    <row r="204" spans="1:19" ht="12.75">
      <c r="A204" s="837"/>
      <c r="B204" s="832"/>
      <c r="C204" s="833"/>
      <c r="D204" s="834"/>
      <c r="E204" s="834"/>
      <c r="F204" s="834"/>
      <c r="G204" s="834"/>
      <c r="H204" s="838"/>
      <c r="I204" s="835"/>
      <c r="J204" s="836"/>
      <c r="K204" s="836"/>
      <c r="L204" s="837"/>
      <c r="M204" s="837"/>
      <c r="O204" s="101"/>
      <c r="P204" s="101"/>
      <c r="Q204" s="101"/>
      <c r="R204" s="101"/>
      <c r="S204" s="101"/>
    </row>
    <row r="205" spans="1:19" ht="12.75">
      <c r="A205" s="837"/>
      <c r="B205" s="832"/>
      <c r="C205" s="833"/>
      <c r="D205" s="834"/>
      <c r="E205" s="834"/>
      <c r="F205" s="834"/>
      <c r="G205" s="834"/>
      <c r="H205" s="838"/>
      <c r="I205" s="835"/>
      <c r="J205" s="836"/>
      <c r="K205" s="836"/>
      <c r="L205" s="837"/>
      <c r="M205" s="837"/>
      <c r="O205" s="101"/>
      <c r="P205" s="101"/>
      <c r="Q205" s="101"/>
      <c r="R205" s="101"/>
      <c r="S205" s="101"/>
    </row>
    <row r="206" spans="1:19" ht="15.75">
      <c r="A206" s="25" t="s">
        <v>54</v>
      </c>
      <c r="B206" s="638"/>
      <c r="C206" s="833"/>
      <c r="D206" s="834"/>
      <c r="E206" s="834"/>
      <c r="F206" s="834"/>
      <c r="G206" s="834"/>
      <c r="H206" s="838"/>
      <c r="I206" s="835"/>
      <c r="J206" s="836"/>
      <c r="K206" s="836"/>
      <c r="L206" s="837"/>
      <c r="M206" s="837"/>
      <c r="O206" s="101"/>
      <c r="P206" s="101"/>
      <c r="Q206" s="101"/>
      <c r="R206" s="101"/>
      <c r="S206" s="101"/>
    </row>
    <row r="207" spans="1:19" ht="12.75">
      <c r="A207" s="5" t="s">
        <v>23</v>
      </c>
      <c r="B207" s="6" t="s">
        <v>24</v>
      </c>
      <c r="C207" s="7" t="s">
        <v>25</v>
      </c>
      <c r="D207" s="8" t="s">
        <v>29</v>
      </c>
      <c r="E207" s="8" t="s">
        <v>30</v>
      </c>
      <c r="F207" s="8" t="s">
        <v>31</v>
      </c>
      <c r="G207" s="8" t="s">
        <v>32</v>
      </c>
      <c r="H207" s="199" t="s">
        <v>140</v>
      </c>
      <c r="I207" s="62" t="s">
        <v>414</v>
      </c>
      <c r="J207" s="745" t="s">
        <v>170</v>
      </c>
      <c r="K207" s="750" t="s">
        <v>644</v>
      </c>
      <c r="L207" s="54"/>
      <c r="M207" s="54"/>
      <c r="O207" s="101"/>
      <c r="P207" s="101"/>
      <c r="Q207" s="101"/>
      <c r="R207" s="101"/>
      <c r="S207" s="101"/>
    </row>
    <row r="208" spans="1:19" ht="15.75">
      <c r="A208" s="47"/>
      <c r="B208" s="21" t="s">
        <v>27</v>
      </c>
      <c r="C208" s="11" t="s">
        <v>28</v>
      </c>
      <c r="D208" s="12" t="s">
        <v>114</v>
      </c>
      <c r="E208" s="13" t="s">
        <v>114</v>
      </c>
      <c r="F208" s="13" t="s">
        <v>114</v>
      </c>
      <c r="G208" s="14" t="s">
        <v>33</v>
      </c>
      <c r="H208" s="200">
        <v>2012</v>
      </c>
      <c r="I208" s="21">
        <v>2012</v>
      </c>
      <c r="J208" s="21">
        <v>2012</v>
      </c>
      <c r="K208" s="21">
        <v>2012</v>
      </c>
      <c r="L208" s="54"/>
      <c r="M208" s="54"/>
      <c r="O208" s="101"/>
      <c r="P208" s="101"/>
      <c r="Q208" s="101"/>
      <c r="R208" s="101"/>
      <c r="S208" s="101"/>
    </row>
    <row r="209" spans="1:20" ht="13.5">
      <c r="A209" s="37" t="s">
        <v>55</v>
      </c>
      <c r="B209" s="6"/>
      <c r="C209" s="7"/>
      <c r="D209" s="180"/>
      <c r="E209" s="180"/>
      <c r="F209" s="180"/>
      <c r="G209" s="182"/>
      <c r="H209" s="631" t="s">
        <v>55</v>
      </c>
      <c r="I209" s="632">
        <f>SUM(H210:H221)</f>
        <v>45658</v>
      </c>
      <c r="J209" s="627"/>
      <c r="K209" s="627" t="s">
        <v>565</v>
      </c>
      <c r="L209" s="54"/>
      <c r="M209" s="54"/>
      <c r="N209" s="1214"/>
      <c r="O209" s="101"/>
      <c r="P209" s="101"/>
      <c r="Q209" s="101"/>
      <c r="R209" s="101"/>
      <c r="S209" s="101"/>
      <c r="T209" s="1214"/>
    </row>
    <row r="210" spans="1:20" ht="13.5">
      <c r="A210" s="34" t="s">
        <v>55</v>
      </c>
      <c r="B210" s="10" t="s">
        <v>56</v>
      </c>
      <c r="C210" s="15">
        <v>20</v>
      </c>
      <c r="D210" s="660">
        <v>11.2</v>
      </c>
      <c r="E210" s="660">
        <v>0.94</v>
      </c>
      <c r="F210" s="660">
        <v>11.69</v>
      </c>
      <c r="G210" s="660">
        <f aca="true" t="shared" si="24" ref="G210:G219">D210/E210</f>
        <v>11.914893617021276</v>
      </c>
      <c r="H210" s="896">
        <v>6402</v>
      </c>
      <c r="I210" s="195">
        <v>13.55</v>
      </c>
      <c r="J210" s="178">
        <f aca="true" t="shared" si="25" ref="J210:J234">H210*I210/C210</f>
        <v>4337.3550000000005</v>
      </c>
      <c r="K210" s="888">
        <f aca="true" t="shared" si="26" ref="K210:K229">J210/H210</f>
        <v>0.6775000000000001</v>
      </c>
      <c r="L210" s="54"/>
      <c r="M210" s="54"/>
      <c r="N210" s="100"/>
      <c r="O210" s="101"/>
      <c r="P210" s="101"/>
      <c r="Q210" s="101"/>
      <c r="R210" s="101"/>
      <c r="S210" s="101"/>
      <c r="T210" s="100"/>
    </row>
    <row r="211" spans="1:20" ht="13.5">
      <c r="A211" s="34"/>
      <c r="B211" s="10" t="s">
        <v>56</v>
      </c>
      <c r="C211" s="15">
        <v>30</v>
      </c>
      <c r="D211" s="660">
        <v>11.63</v>
      </c>
      <c r="E211" s="660">
        <v>1.02</v>
      </c>
      <c r="F211" s="660">
        <v>11.5</v>
      </c>
      <c r="G211" s="660">
        <f t="shared" si="24"/>
        <v>11.401960784313726</v>
      </c>
      <c r="H211" s="896">
        <v>2780</v>
      </c>
      <c r="I211" s="195">
        <v>19.95</v>
      </c>
      <c r="J211" s="178">
        <f t="shared" si="25"/>
        <v>1848.7</v>
      </c>
      <c r="K211" s="889">
        <f t="shared" si="26"/>
        <v>0.665</v>
      </c>
      <c r="L211" s="54"/>
      <c r="M211" s="54"/>
      <c r="N211" s="100"/>
      <c r="O211" s="101"/>
      <c r="P211" s="101"/>
      <c r="Q211" s="101"/>
      <c r="R211" s="101"/>
      <c r="S211" s="101"/>
      <c r="T211" s="100"/>
    </row>
    <row r="212" spans="1:20" ht="13.5">
      <c r="A212" s="34" t="s">
        <v>55</v>
      </c>
      <c r="B212" s="10" t="s">
        <v>56</v>
      </c>
      <c r="C212" s="15">
        <v>40</v>
      </c>
      <c r="D212" s="660">
        <v>11.63</v>
      </c>
      <c r="E212" s="660">
        <v>1.02</v>
      </c>
      <c r="F212" s="660">
        <v>11.5</v>
      </c>
      <c r="G212" s="660">
        <f t="shared" si="24"/>
        <v>11.401960784313726</v>
      </c>
      <c r="H212" s="896">
        <v>18751</v>
      </c>
      <c r="I212" s="195">
        <v>26.25</v>
      </c>
      <c r="J212" s="178">
        <f t="shared" si="25"/>
        <v>12305.34375</v>
      </c>
      <c r="K212" s="889">
        <f t="shared" si="26"/>
        <v>0.65625</v>
      </c>
      <c r="L212" s="54"/>
      <c r="M212" s="54"/>
      <c r="N212" s="100"/>
      <c r="O212" s="101"/>
      <c r="P212" s="101"/>
      <c r="Q212" s="101"/>
      <c r="R212" s="101"/>
      <c r="S212" s="101"/>
      <c r="T212" s="100"/>
    </row>
    <row r="213" spans="1:20" ht="13.5">
      <c r="A213" s="34"/>
      <c r="B213" s="10" t="s">
        <v>213</v>
      </c>
      <c r="C213" s="15">
        <v>20</v>
      </c>
      <c r="D213" s="660">
        <v>10.8</v>
      </c>
      <c r="E213" s="660">
        <v>0.89</v>
      </c>
      <c r="F213" s="660">
        <v>11.4</v>
      </c>
      <c r="G213" s="660">
        <f t="shared" si="24"/>
        <v>12.134831460674159</v>
      </c>
      <c r="H213" s="896">
        <v>2706</v>
      </c>
      <c r="I213" s="195">
        <v>13.55</v>
      </c>
      <c r="J213" s="178">
        <f t="shared" si="25"/>
        <v>1833.315</v>
      </c>
      <c r="K213" s="889">
        <f t="shared" si="26"/>
        <v>0.6775</v>
      </c>
      <c r="L213" s="54"/>
      <c r="M213" s="54"/>
      <c r="N213" s="100"/>
      <c r="O213" s="101"/>
      <c r="P213" s="101"/>
      <c r="Q213" s="101"/>
      <c r="R213" s="101"/>
      <c r="S213" s="101"/>
      <c r="T213" s="100"/>
    </row>
    <row r="214" spans="1:20" ht="13.5">
      <c r="A214" s="34"/>
      <c r="B214" s="10" t="s">
        <v>213</v>
      </c>
      <c r="C214" s="15">
        <v>30</v>
      </c>
      <c r="D214" s="660">
        <v>10.7</v>
      </c>
      <c r="E214" s="660">
        <v>1</v>
      </c>
      <c r="F214" s="660">
        <v>11.4</v>
      </c>
      <c r="G214" s="660">
        <f t="shared" si="24"/>
        <v>10.7</v>
      </c>
      <c r="H214" s="896">
        <v>1197</v>
      </c>
      <c r="I214" s="195">
        <v>19.95</v>
      </c>
      <c r="J214" s="178">
        <f t="shared" si="25"/>
        <v>796.0049999999999</v>
      </c>
      <c r="K214" s="889">
        <f t="shared" si="26"/>
        <v>0.6649999999999999</v>
      </c>
      <c r="L214" s="54"/>
      <c r="M214" s="54"/>
      <c r="N214" s="100"/>
      <c r="O214" s="101"/>
      <c r="P214" s="101"/>
      <c r="Q214" s="101"/>
      <c r="R214" s="101"/>
      <c r="S214" s="101"/>
      <c r="T214" s="100"/>
    </row>
    <row r="215" spans="1:20" ht="13.5">
      <c r="A215" s="34"/>
      <c r="B215" s="10" t="s">
        <v>213</v>
      </c>
      <c r="C215" s="15">
        <v>40</v>
      </c>
      <c r="D215" s="660">
        <v>10.7</v>
      </c>
      <c r="E215" s="660">
        <v>1</v>
      </c>
      <c r="F215" s="660">
        <v>11.4</v>
      </c>
      <c r="G215" s="660">
        <f t="shared" si="24"/>
        <v>10.7</v>
      </c>
      <c r="H215" s="896">
        <v>5758</v>
      </c>
      <c r="I215" s="195">
        <v>26.25</v>
      </c>
      <c r="J215" s="178">
        <f t="shared" si="25"/>
        <v>3778.6875</v>
      </c>
      <c r="K215" s="889">
        <f t="shared" si="26"/>
        <v>0.65625</v>
      </c>
      <c r="L215" s="54"/>
      <c r="M215" s="54"/>
      <c r="N215" s="100"/>
      <c r="O215" s="101"/>
      <c r="P215" s="101"/>
      <c r="Q215" s="101"/>
      <c r="R215" s="101"/>
      <c r="S215" s="101"/>
      <c r="T215" s="100"/>
    </row>
    <row r="216" spans="1:20" ht="13.5">
      <c r="A216" s="34"/>
      <c r="B216" s="10" t="s">
        <v>214</v>
      </c>
      <c r="C216" s="15">
        <v>20</v>
      </c>
      <c r="D216" s="660">
        <v>7.88</v>
      </c>
      <c r="E216" s="660">
        <v>0.69</v>
      </c>
      <c r="F216" s="660">
        <v>9.18</v>
      </c>
      <c r="G216" s="660">
        <f t="shared" si="24"/>
        <v>11.420289855072465</v>
      </c>
      <c r="H216" s="896">
        <v>838</v>
      </c>
      <c r="I216" s="195">
        <v>13.55</v>
      </c>
      <c r="J216" s="178">
        <f t="shared" si="25"/>
        <v>567.7450000000001</v>
      </c>
      <c r="K216" s="889">
        <f t="shared" si="26"/>
        <v>0.6775000000000001</v>
      </c>
      <c r="L216" s="54"/>
      <c r="M216" s="54"/>
      <c r="N216" s="100"/>
      <c r="O216" s="101"/>
      <c r="P216" s="101"/>
      <c r="Q216" s="101"/>
      <c r="R216" s="101"/>
      <c r="S216" s="101"/>
      <c r="T216" s="100"/>
    </row>
    <row r="217" spans="1:20" ht="13.5">
      <c r="A217" s="34"/>
      <c r="B217" s="10" t="s">
        <v>214</v>
      </c>
      <c r="C217" s="15">
        <v>30</v>
      </c>
      <c r="D217" s="660">
        <v>7.4</v>
      </c>
      <c r="E217" s="660">
        <v>0.69</v>
      </c>
      <c r="F217" s="660">
        <v>7.9</v>
      </c>
      <c r="G217" s="660">
        <f t="shared" si="24"/>
        <v>10.724637681159422</v>
      </c>
      <c r="H217" s="896">
        <v>403</v>
      </c>
      <c r="I217" s="195">
        <v>19.95</v>
      </c>
      <c r="J217" s="178">
        <f t="shared" si="25"/>
        <v>267.995</v>
      </c>
      <c r="K217" s="889">
        <f t="shared" si="26"/>
        <v>0.665</v>
      </c>
      <c r="L217" s="54"/>
      <c r="M217" s="54"/>
      <c r="N217" s="100"/>
      <c r="O217" s="101"/>
      <c r="P217" s="101"/>
      <c r="Q217" s="101"/>
      <c r="R217" s="101"/>
      <c r="S217" s="101"/>
      <c r="T217" s="100"/>
    </row>
    <row r="218" spans="1:20" ht="13.5">
      <c r="A218" s="34"/>
      <c r="B218" s="10" t="s">
        <v>214</v>
      </c>
      <c r="C218" s="15">
        <v>40</v>
      </c>
      <c r="D218" s="660">
        <v>7.4</v>
      </c>
      <c r="E218" s="660">
        <v>0.69</v>
      </c>
      <c r="F218" s="660">
        <v>7.9</v>
      </c>
      <c r="G218" s="660">
        <f t="shared" si="24"/>
        <v>10.724637681159422</v>
      </c>
      <c r="H218" s="896">
        <v>1795</v>
      </c>
      <c r="I218" s="195">
        <v>26.25</v>
      </c>
      <c r="J218" s="178">
        <f t="shared" si="25"/>
        <v>1177.96875</v>
      </c>
      <c r="K218" s="889">
        <f t="shared" si="26"/>
        <v>0.65625</v>
      </c>
      <c r="L218" s="54"/>
      <c r="M218" s="54"/>
      <c r="N218" s="100"/>
      <c r="O218" s="101"/>
      <c r="P218" s="101"/>
      <c r="Q218" s="101"/>
      <c r="R218" s="101"/>
      <c r="S218" s="101"/>
      <c r="T218" s="100"/>
    </row>
    <row r="219" spans="1:20" ht="13.5">
      <c r="A219" s="34" t="s">
        <v>55</v>
      </c>
      <c r="B219" s="10" t="s">
        <v>42</v>
      </c>
      <c r="C219" s="15">
        <v>20</v>
      </c>
      <c r="D219" s="660">
        <v>7.7</v>
      </c>
      <c r="E219" s="660">
        <v>0.67</v>
      </c>
      <c r="F219" s="660">
        <v>9.3</v>
      </c>
      <c r="G219" s="660">
        <f t="shared" si="24"/>
        <v>11.492537313432836</v>
      </c>
      <c r="H219" s="896">
        <v>1416</v>
      </c>
      <c r="I219" s="195">
        <v>13.55</v>
      </c>
      <c r="J219" s="178">
        <f t="shared" si="25"/>
        <v>959.3399999999999</v>
      </c>
      <c r="K219" s="889">
        <f t="shared" si="26"/>
        <v>0.6775</v>
      </c>
      <c r="L219" s="54"/>
      <c r="M219" s="54"/>
      <c r="N219" s="100"/>
      <c r="O219" s="101"/>
      <c r="P219" s="101"/>
      <c r="Q219" s="101"/>
      <c r="R219" s="101"/>
      <c r="S219" s="101"/>
      <c r="T219" s="100"/>
    </row>
    <row r="220" spans="1:20" ht="13.5">
      <c r="A220" s="34"/>
      <c r="B220" s="10" t="s">
        <v>42</v>
      </c>
      <c r="C220" s="15">
        <v>30</v>
      </c>
      <c r="D220" s="660">
        <v>7.7</v>
      </c>
      <c r="E220" s="660">
        <v>0.67</v>
      </c>
      <c r="F220" s="660">
        <v>9.3</v>
      </c>
      <c r="G220" s="660">
        <f aca="true" t="shared" si="27" ref="G220:G234">D220/E220</f>
        <v>11.492537313432836</v>
      </c>
      <c r="H220" s="896">
        <v>652</v>
      </c>
      <c r="I220" s="195">
        <v>19.95</v>
      </c>
      <c r="J220" s="178">
        <f t="shared" si="25"/>
        <v>433.58</v>
      </c>
      <c r="K220" s="889">
        <f t="shared" si="26"/>
        <v>0.6649999999999999</v>
      </c>
      <c r="L220" s="54"/>
      <c r="M220" s="54"/>
      <c r="N220" s="100"/>
      <c r="O220" s="101"/>
      <c r="P220" s="101"/>
      <c r="Q220" s="101"/>
      <c r="R220" s="101"/>
      <c r="S220" s="101"/>
      <c r="T220" s="100"/>
    </row>
    <row r="221" spans="1:20" ht="13.5">
      <c r="A221" s="34" t="s">
        <v>55</v>
      </c>
      <c r="B221" s="10" t="s">
        <v>42</v>
      </c>
      <c r="C221" s="15">
        <v>40</v>
      </c>
      <c r="D221" s="660">
        <v>7.7</v>
      </c>
      <c r="E221" s="660">
        <v>0.67</v>
      </c>
      <c r="F221" s="660">
        <v>9.3</v>
      </c>
      <c r="G221" s="660">
        <f t="shared" si="27"/>
        <v>11.492537313432836</v>
      </c>
      <c r="H221" s="896">
        <v>2960</v>
      </c>
      <c r="I221" s="195">
        <v>26.25</v>
      </c>
      <c r="J221" s="178">
        <f t="shared" si="25"/>
        <v>1942.5</v>
      </c>
      <c r="K221" s="889">
        <f t="shared" si="26"/>
        <v>0.65625</v>
      </c>
      <c r="L221" s="54"/>
      <c r="M221" s="54"/>
      <c r="N221" s="100"/>
      <c r="O221" s="101"/>
      <c r="P221" s="101"/>
      <c r="Q221" s="101"/>
      <c r="R221" s="101"/>
      <c r="S221" s="101"/>
      <c r="T221" s="100"/>
    </row>
    <row r="222" spans="1:19" ht="13.5">
      <c r="A222" s="37" t="s">
        <v>57</v>
      </c>
      <c r="B222" s="211"/>
      <c r="C222" s="211"/>
      <c r="D222" s="857"/>
      <c r="E222" s="858"/>
      <c r="F222" s="857"/>
      <c r="G222" s="181"/>
      <c r="H222" s="631" t="s">
        <v>502</v>
      </c>
      <c r="I222" s="632">
        <f>SUM(H223:H229)</f>
        <v>75868</v>
      </c>
      <c r="J222" s="182"/>
      <c r="K222" s="889"/>
      <c r="L222" s="54"/>
      <c r="M222" s="54"/>
      <c r="O222" s="101"/>
      <c r="P222" s="101"/>
      <c r="Q222" s="101"/>
      <c r="R222" s="101"/>
      <c r="S222" s="101"/>
    </row>
    <row r="223" spans="1:19" ht="13.5">
      <c r="A223" s="34"/>
      <c r="B223" s="10" t="s">
        <v>220</v>
      </c>
      <c r="C223" s="15">
        <v>20</v>
      </c>
      <c r="D223" s="660">
        <v>12.14</v>
      </c>
      <c r="E223" s="660">
        <v>0.92</v>
      </c>
      <c r="F223" s="660">
        <v>10.6</v>
      </c>
      <c r="G223" s="660">
        <f t="shared" si="27"/>
        <v>13.195652173913043</v>
      </c>
      <c r="H223" s="896">
        <v>12730</v>
      </c>
      <c r="I223" s="195">
        <v>15.9</v>
      </c>
      <c r="J223" s="178">
        <f t="shared" si="25"/>
        <v>10120.35</v>
      </c>
      <c r="K223" s="889">
        <f t="shared" si="26"/>
        <v>0.795</v>
      </c>
      <c r="L223" s="54"/>
      <c r="M223" s="54"/>
      <c r="N223" s="100"/>
      <c r="O223" s="101"/>
      <c r="P223" s="101"/>
      <c r="Q223" s="101"/>
      <c r="R223" s="101"/>
      <c r="S223" s="101"/>
    </row>
    <row r="224" spans="1:19" ht="13.5">
      <c r="A224" s="34"/>
      <c r="B224" s="10" t="s">
        <v>220</v>
      </c>
      <c r="C224" s="15">
        <v>25</v>
      </c>
      <c r="D224" s="660">
        <v>12.14</v>
      </c>
      <c r="E224" s="660">
        <v>0.92</v>
      </c>
      <c r="F224" s="660">
        <v>10.6</v>
      </c>
      <c r="G224" s="660">
        <f>D224/E224</f>
        <v>13.195652173913043</v>
      </c>
      <c r="H224" s="896">
        <v>10132</v>
      </c>
      <c r="I224" s="195">
        <v>19.4</v>
      </c>
      <c r="J224" s="178">
        <f t="shared" si="25"/>
        <v>7862.432</v>
      </c>
      <c r="K224" s="889">
        <f t="shared" si="26"/>
        <v>0.776</v>
      </c>
      <c r="L224" s="54"/>
      <c r="M224" s="54"/>
      <c r="O224" s="101"/>
      <c r="P224" s="101"/>
      <c r="Q224" s="101"/>
      <c r="R224" s="101"/>
      <c r="S224" s="101"/>
    </row>
    <row r="225" spans="1:19" ht="13.5">
      <c r="A225" s="38"/>
      <c r="B225" s="10" t="s">
        <v>547</v>
      </c>
      <c r="C225" s="15">
        <v>20</v>
      </c>
      <c r="D225" s="660">
        <v>5.7</v>
      </c>
      <c r="E225" s="660">
        <v>0.5</v>
      </c>
      <c r="F225" s="660">
        <v>6.9</v>
      </c>
      <c r="G225" s="660">
        <f>D225/E225</f>
        <v>11.4</v>
      </c>
      <c r="H225" s="896">
        <v>29257</v>
      </c>
      <c r="I225" s="195">
        <v>15.9</v>
      </c>
      <c r="J225" s="178">
        <f t="shared" si="25"/>
        <v>23259.315</v>
      </c>
      <c r="K225" s="889">
        <f t="shared" si="26"/>
        <v>0.7949999999999999</v>
      </c>
      <c r="L225" s="54"/>
      <c r="M225" s="101"/>
      <c r="O225" s="101"/>
      <c r="P225" s="101"/>
      <c r="Q225" s="101"/>
      <c r="R225" s="101"/>
      <c r="S225" s="101"/>
    </row>
    <row r="226" spans="1:19" ht="13.5">
      <c r="A226" s="38"/>
      <c r="B226" s="10" t="s">
        <v>216</v>
      </c>
      <c r="C226" s="15">
        <v>25</v>
      </c>
      <c r="D226" s="660">
        <v>5.7</v>
      </c>
      <c r="E226" s="660">
        <v>0.5</v>
      </c>
      <c r="F226" s="660">
        <v>6.9</v>
      </c>
      <c r="G226" s="660">
        <f t="shared" si="27"/>
        <v>11.4</v>
      </c>
      <c r="H226" s="896">
        <v>19265</v>
      </c>
      <c r="I226" s="195">
        <v>19.4</v>
      </c>
      <c r="J226" s="178">
        <f t="shared" si="25"/>
        <v>14949.64</v>
      </c>
      <c r="K226" s="889">
        <f t="shared" si="26"/>
        <v>0.776</v>
      </c>
      <c r="L226" s="54"/>
      <c r="M226" s="101"/>
      <c r="O226" s="101"/>
      <c r="P226" s="101"/>
      <c r="Q226" s="101"/>
      <c r="R226" s="101"/>
      <c r="S226" s="101"/>
    </row>
    <row r="227" spans="1:19" ht="13.5">
      <c r="A227" s="38"/>
      <c r="B227" s="10" t="s">
        <v>449</v>
      </c>
      <c r="C227" s="15">
        <v>20</v>
      </c>
      <c r="D227" s="660">
        <v>8.6</v>
      </c>
      <c r="E227" s="660">
        <v>0.8</v>
      </c>
      <c r="F227" s="660">
        <v>8.1</v>
      </c>
      <c r="G227" s="660">
        <f t="shared" si="27"/>
        <v>10.749999999999998</v>
      </c>
      <c r="H227" s="896">
        <v>138</v>
      </c>
      <c r="I227" s="195">
        <v>15.9</v>
      </c>
      <c r="J227" s="178">
        <f t="shared" si="25"/>
        <v>109.71000000000001</v>
      </c>
      <c r="K227" s="889">
        <f t="shared" si="26"/>
        <v>0.795</v>
      </c>
      <c r="L227" s="54"/>
      <c r="M227" s="101"/>
      <c r="O227" s="101"/>
      <c r="P227" s="101"/>
      <c r="Q227" s="101"/>
      <c r="R227" s="101"/>
      <c r="S227" s="101"/>
    </row>
    <row r="228" spans="1:19" ht="13.5">
      <c r="A228" s="38"/>
      <c r="B228" s="10" t="s">
        <v>217</v>
      </c>
      <c r="C228" s="15">
        <v>20</v>
      </c>
      <c r="D228" s="809">
        <v>8</v>
      </c>
      <c r="E228" s="809">
        <v>0.64</v>
      </c>
      <c r="F228" s="809">
        <v>8.04</v>
      </c>
      <c r="G228" s="660">
        <f t="shared" si="27"/>
        <v>12.5</v>
      </c>
      <c r="H228" s="896">
        <v>2112</v>
      </c>
      <c r="I228" s="195">
        <v>15.9</v>
      </c>
      <c r="J228" s="178">
        <f t="shared" si="25"/>
        <v>1679.0400000000002</v>
      </c>
      <c r="K228" s="889">
        <f t="shared" si="26"/>
        <v>0.795</v>
      </c>
      <c r="L228" s="54"/>
      <c r="M228" s="101"/>
      <c r="O228" s="101"/>
      <c r="P228" s="101"/>
      <c r="Q228" s="101"/>
      <c r="R228" s="101"/>
      <c r="S228" s="101"/>
    </row>
    <row r="229" spans="1:19" ht="13.5">
      <c r="A229" s="63"/>
      <c r="B229" s="10" t="s">
        <v>218</v>
      </c>
      <c r="C229" s="15">
        <v>20</v>
      </c>
      <c r="D229" s="809">
        <v>5.6</v>
      </c>
      <c r="E229" s="809">
        <v>0.46</v>
      </c>
      <c r="F229" s="809">
        <v>6.34</v>
      </c>
      <c r="G229" s="660">
        <f t="shared" si="27"/>
        <v>12.17391304347826</v>
      </c>
      <c r="H229" s="896">
        <v>2234</v>
      </c>
      <c r="I229" s="195">
        <v>15.9</v>
      </c>
      <c r="J229" s="178">
        <f t="shared" si="25"/>
        <v>1776.03</v>
      </c>
      <c r="K229" s="1144">
        <f t="shared" si="26"/>
        <v>0.795</v>
      </c>
      <c r="L229" s="54"/>
      <c r="M229" s="101"/>
      <c r="O229" s="101"/>
      <c r="P229" s="101"/>
      <c r="Q229" s="101"/>
      <c r="R229" s="101"/>
      <c r="S229" s="101"/>
    </row>
    <row r="230" spans="1:19" ht="13.5">
      <c r="A230" s="53" t="s">
        <v>219</v>
      </c>
      <c r="B230" s="6"/>
      <c r="C230" s="7"/>
      <c r="D230" s="179"/>
      <c r="E230" s="180"/>
      <c r="F230" s="181"/>
      <c r="G230" s="182"/>
      <c r="H230" s="203" t="s">
        <v>219</v>
      </c>
      <c r="I230" s="632">
        <f>SUM(H231:H234)</f>
        <v>7921</v>
      </c>
      <c r="J230" s="182"/>
      <c r="K230" s="889"/>
      <c r="L230" s="54"/>
      <c r="M230" s="54"/>
      <c r="O230" s="101"/>
      <c r="P230" s="101"/>
      <c r="Q230" s="101"/>
      <c r="R230" s="101"/>
      <c r="S230" s="101"/>
    </row>
    <row r="231" spans="1:19" ht="13.5">
      <c r="A231" s="34" t="s">
        <v>219</v>
      </c>
      <c r="B231" s="10" t="s">
        <v>220</v>
      </c>
      <c r="C231" s="15">
        <v>20</v>
      </c>
      <c r="D231" s="810">
        <v>12.02</v>
      </c>
      <c r="E231" s="660">
        <v>1.12</v>
      </c>
      <c r="F231" s="193">
        <v>11.74</v>
      </c>
      <c r="G231" s="660">
        <f t="shared" si="27"/>
        <v>10.732142857142856</v>
      </c>
      <c r="H231" s="896">
        <v>3394</v>
      </c>
      <c r="I231" s="195">
        <v>13.2</v>
      </c>
      <c r="J231" s="178">
        <f t="shared" si="25"/>
        <v>2240.04</v>
      </c>
      <c r="K231" s="889">
        <f>J231/H231</f>
        <v>0.66</v>
      </c>
      <c r="L231" s="54"/>
      <c r="M231" s="54"/>
      <c r="N231" s="100"/>
      <c r="O231" s="101"/>
      <c r="P231" s="101"/>
      <c r="Q231" s="101"/>
      <c r="R231" s="101"/>
      <c r="S231" s="101"/>
    </row>
    <row r="232" spans="1:19" ht="13.5">
      <c r="A232" s="34" t="s">
        <v>219</v>
      </c>
      <c r="B232" s="10" t="s">
        <v>215</v>
      </c>
      <c r="C232" s="15">
        <v>20</v>
      </c>
      <c r="D232" s="810">
        <v>11.5</v>
      </c>
      <c r="E232" s="660">
        <v>1</v>
      </c>
      <c r="F232" s="193">
        <v>10.54</v>
      </c>
      <c r="G232" s="660">
        <f t="shared" si="27"/>
        <v>11.5</v>
      </c>
      <c r="H232" s="896">
        <v>602</v>
      </c>
      <c r="I232" s="195">
        <v>13.2</v>
      </c>
      <c r="J232" s="178">
        <f t="shared" si="25"/>
        <v>397.32</v>
      </c>
      <c r="K232" s="889">
        <f>J232/H232</f>
        <v>0.66</v>
      </c>
      <c r="L232" s="54"/>
      <c r="M232" s="166"/>
      <c r="N232" s="100"/>
      <c r="O232" s="101"/>
      <c r="P232" s="101"/>
      <c r="Q232" s="101"/>
      <c r="R232" s="101"/>
      <c r="S232" s="101"/>
    </row>
    <row r="233" spans="1:19" ht="13.5">
      <c r="A233" s="34" t="s">
        <v>219</v>
      </c>
      <c r="B233" s="10" t="s">
        <v>221</v>
      </c>
      <c r="C233" s="15">
        <v>20</v>
      </c>
      <c r="D233" s="810">
        <v>12.62</v>
      </c>
      <c r="E233" s="660">
        <v>1</v>
      </c>
      <c r="F233" s="193">
        <v>11.4</v>
      </c>
      <c r="G233" s="660">
        <f t="shared" si="27"/>
        <v>12.62</v>
      </c>
      <c r="H233" s="896">
        <v>1499</v>
      </c>
      <c r="I233" s="195">
        <v>13.2</v>
      </c>
      <c r="J233" s="178">
        <f t="shared" si="25"/>
        <v>989.3399999999999</v>
      </c>
      <c r="K233" s="889">
        <f>J233/H233</f>
        <v>0.6599999999999999</v>
      </c>
      <c r="L233" s="54"/>
      <c r="M233" s="166"/>
      <c r="N233" s="100"/>
      <c r="O233" s="101"/>
      <c r="P233" s="101"/>
      <c r="Q233" s="101"/>
      <c r="R233" s="101"/>
      <c r="S233" s="101"/>
    </row>
    <row r="234" spans="1:19" ht="13.5">
      <c r="A234" s="34" t="s">
        <v>219</v>
      </c>
      <c r="B234" s="10" t="s">
        <v>699</v>
      </c>
      <c r="C234" s="15">
        <v>20</v>
      </c>
      <c r="D234" s="810">
        <v>12.1</v>
      </c>
      <c r="E234" s="660">
        <v>1</v>
      </c>
      <c r="F234" s="193">
        <v>11.7</v>
      </c>
      <c r="G234" s="660">
        <f t="shared" si="27"/>
        <v>12.1</v>
      </c>
      <c r="H234" s="896">
        <v>2426</v>
      </c>
      <c r="I234" s="195">
        <v>13</v>
      </c>
      <c r="J234" s="178">
        <f t="shared" si="25"/>
        <v>1576.9</v>
      </c>
      <c r="K234" s="889">
        <f>J234/H234</f>
        <v>0.65</v>
      </c>
      <c r="L234" s="54"/>
      <c r="M234" s="166"/>
      <c r="N234" s="100"/>
      <c r="O234" s="101"/>
      <c r="P234" s="101"/>
      <c r="Q234" s="101"/>
      <c r="R234" s="101"/>
      <c r="S234" s="101"/>
    </row>
    <row r="235" spans="1:13" ht="13.5">
      <c r="A235" s="50" t="s">
        <v>58</v>
      </c>
      <c r="B235" s="56"/>
      <c r="C235" s="52"/>
      <c r="D235" s="1120">
        <f>SUMPRODUCT(D210:D234,$H210:$H234)/$H235</f>
        <v>9.023303823186323</v>
      </c>
      <c r="E235" s="1121">
        <f>SUMPRODUCT(E210:E234,$H210:$H234)/$H235</f>
        <v>0.7641620122521184</v>
      </c>
      <c r="F235" s="1121">
        <f>SUMPRODUCT(F210:F234,$H210:$H234)/$H235</f>
        <v>9.312405849498251</v>
      </c>
      <c r="G235" s="1122">
        <f>SUMPRODUCT(G210:G234,$H210:$H234)/$H235</f>
        <v>11.753746701319969</v>
      </c>
      <c r="H235" s="1123">
        <f>SUM(H210:H234)</f>
        <v>129447</v>
      </c>
      <c r="I235" s="890">
        <f>SUM(I209,I222,I230)</f>
        <v>129447</v>
      </c>
      <c r="J235" s="890">
        <f>SUM(J210:J234)</f>
        <v>95208.65199999999</v>
      </c>
      <c r="K235" s="752">
        <f>J235/H235</f>
        <v>0.735502962602455</v>
      </c>
      <c r="L235" s="54"/>
      <c r="M235" s="166"/>
    </row>
    <row r="236" spans="12:13" ht="12.75">
      <c r="L236" s="54"/>
      <c r="M236" s="166"/>
    </row>
    <row r="237" spans="12:13" ht="12.75">
      <c r="L237" s="54"/>
      <c r="M237" s="166"/>
    </row>
    <row r="238" spans="12:13" ht="12.75">
      <c r="L238" s="54"/>
      <c r="M238" s="166"/>
    </row>
    <row r="239" spans="1:13" ht="15.75">
      <c r="A239" s="637" t="s">
        <v>116</v>
      </c>
      <c r="B239" s="637"/>
      <c r="C239" s="637"/>
      <c r="D239" s="189"/>
      <c r="E239" s="189"/>
      <c r="F239" s="187"/>
      <c r="G239" s="176"/>
      <c r="H239" s="212"/>
      <c r="I239" s="191"/>
      <c r="J239" s="188"/>
      <c r="K239" s="188"/>
      <c r="L239" s="54"/>
      <c r="M239" s="166"/>
    </row>
    <row r="240" spans="1:13" ht="12.75">
      <c r="A240" s="5" t="s">
        <v>23</v>
      </c>
      <c r="B240" s="6" t="s">
        <v>24</v>
      </c>
      <c r="C240" s="66" t="s">
        <v>25</v>
      </c>
      <c r="D240" s="8" t="s">
        <v>29</v>
      </c>
      <c r="E240" s="8" t="s">
        <v>30</v>
      </c>
      <c r="F240" s="8" t="s">
        <v>31</v>
      </c>
      <c r="G240" s="8" t="s">
        <v>32</v>
      </c>
      <c r="H240" s="199" t="s">
        <v>875</v>
      </c>
      <c r="I240" s="211" t="s">
        <v>874</v>
      </c>
      <c r="J240" s="1148" t="s">
        <v>170</v>
      </c>
      <c r="K240" s="1149" t="s">
        <v>644</v>
      </c>
      <c r="L240" s="54"/>
      <c r="M240" s="166"/>
    </row>
    <row r="241" spans="1:13" ht="15.75">
      <c r="A241" s="47"/>
      <c r="B241" s="21" t="s">
        <v>27</v>
      </c>
      <c r="C241" s="67" t="s">
        <v>28</v>
      </c>
      <c r="D241" s="12" t="s">
        <v>114</v>
      </c>
      <c r="E241" s="13" t="s">
        <v>114</v>
      </c>
      <c r="F241" s="13" t="s">
        <v>114</v>
      </c>
      <c r="G241" s="14" t="s">
        <v>33</v>
      </c>
      <c r="H241" s="200">
        <v>2012</v>
      </c>
      <c r="I241" s="21">
        <v>2012</v>
      </c>
      <c r="J241" s="21">
        <v>2012</v>
      </c>
      <c r="K241" s="21">
        <v>2012</v>
      </c>
      <c r="L241" s="54"/>
      <c r="M241" s="166"/>
    </row>
    <row r="242" spans="1:13" ht="15.75">
      <c r="A242" s="25" t="s">
        <v>67</v>
      </c>
      <c r="B242" s="10"/>
      <c r="C242" s="15"/>
      <c r="D242" s="192"/>
      <c r="E242" s="192"/>
      <c r="F242" s="192"/>
      <c r="G242" s="192"/>
      <c r="H242" s="202"/>
      <c r="I242" s="191"/>
      <c r="J242" s="196"/>
      <c r="K242" s="196"/>
      <c r="L242" s="54"/>
      <c r="M242" s="166"/>
    </row>
    <row r="243" spans="1:11" ht="13.5">
      <c r="A243" s="49" t="s">
        <v>2</v>
      </c>
      <c r="B243" s="10"/>
      <c r="C243" s="15"/>
      <c r="D243" s="177"/>
      <c r="E243" s="177"/>
      <c r="F243" s="91"/>
      <c r="G243" s="91"/>
      <c r="H243" s="203" t="s">
        <v>2</v>
      </c>
      <c r="I243" s="632">
        <f>SUM(H244:H248)</f>
        <v>4200</v>
      </c>
      <c r="J243" s="630"/>
      <c r="K243" s="630"/>
    </row>
    <row r="244" spans="1:19" ht="13.5">
      <c r="A244" s="34" t="s">
        <v>59</v>
      </c>
      <c r="B244" s="10"/>
      <c r="C244" s="15">
        <v>20</v>
      </c>
      <c r="D244" s="206">
        <v>12</v>
      </c>
      <c r="E244" s="177">
        <v>1.1</v>
      </c>
      <c r="F244" s="91">
        <v>12</v>
      </c>
      <c r="G244" s="177"/>
      <c r="H244" s="202">
        <v>1200</v>
      </c>
      <c r="I244" s="188">
        <v>13.1</v>
      </c>
      <c r="J244" s="178">
        <f>H244*I244/C244</f>
        <v>786</v>
      </c>
      <c r="K244" s="889">
        <f>J244/H244</f>
        <v>0.655</v>
      </c>
      <c r="M244" s="95"/>
      <c r="N244" s="166"/>
      <c r="O244" s="101"/>
      <c r="P244" s="101"/>
      <c r="Q244" s="101"/>
      <c r="R244" s="101"/>
      <c r="S244" s="101"/>
    </row>
    <row r="245" spans="1:19" ht="13.5">
      <c r="A245" s="34" t="s">
        <v>60</v>
      </c>
      <c r="B245" s="10"/>
      <c r="C245" s="15">
        <v>20</v>
      </c>
      <c r="D245" s="206">
        <v>12</v>
      </c>
      <c r="E245" s="177">
        <v>1.3</v>
      </c>
      <c r="F245" s="91"/>
      <c r="G245" s="177"/>
      <c r="H245" s="202">
        <v>1200</v>
      </c>
      <c r="I245" s="188">
        <v>13.1</v>
      </c>
      <c r="J245" s="178">
        <f>H245*I245/C245</f>
        <v>786</v>
      </c>
      <c r="K245" s="889">
        <f>J245/H245</f>
        <v>0.655</v>
      </c>
      <c r="N245" s="166"/>
      <c r="O245" s="101"/>
      <c r="Q245" s="101"/>
      <c r="R245" s="101"/>
      <c r="S245" s="101"/>
    </row>
    <row r="246" spans="1:19" ht="13.5">
      <c r="A246" s="34" t="s">
        <v>61</v>
      </c>
      <c r="B246" s="10"/>
      <c r="C246" s="15">
        <v>20</v>
      </c>
      <c r="D246" s="206">
        <v>12</v>
      </c>
      <c r="E246" s="177">
        <v>1.1</v>
      </c>
      <c r="F246" s="91">
        <v>13</v>
      </c>
      <c r="G246" s="177"/>
      <c r="H246" s="202">
        <v>1000</v>
      </c>
      <c r="I246" s="188">
        <v>12.9</v>
      </c>
      <c r="J246" s="178">
        <f>H246*I246/C246</f>
        <v>645</v>
      </c>
      <c r="K246" s="889">
        <f>J246/H246</f>
        <v>0.645</v>
      </c>
      <c r="N246" s="166"/>
      <c r="O246" s="101"/>
      <c r="P246" s="101"/>
      <c r="Q246" s="101"/>
      <c r="R246" s="101"/>
      <c r="S246" s="101"/>
    </row>
    <row r="247" spans="1:19" ht="13.5">
      <c r="A247" s="34" t="s">
        <v>128</v>
      </c>
      <c r="B247" s="63"/>
      <c r="C247" s="15">
        <v>20</v>
      </c>
      <c r="D247" s="206">
        <v>13</v>
      </c>
      <c r="E247" s="177">
        <v>1.3</v>
      </c>
      <c r="F247" s="91">
        <v>13</v>
      </c>
      <c r="G247" s="177"/>
      <c r="H247" s="202">
        <f>20*20</f>
        <v>400</v>
      </c>
      <c r="I247" s="188">
        <v>12.5</v>
      </c>
      <c r="J247" s="178">
        <f>H247*I247/C247</f>
        <v>250</v>
      </c>
      <c r="K247" s="889">
        <f>J247/H247</f>
        <v>0.625</v>
      </c>
      <c r="N247" s="166"/>
      <c r="O247" s="101"/>
      <c r="P247" s="101"/>
      <c r="Q247" s="101"/>
      <c r="R247" s="101"/>
      <c r="S247" s="101"/>
    </row>
    <row r="248" spans="1:19" ht="13.5">
      <c r="A248" s="38" t="s">
        <v>144</v>
      </c>
      <c r="B248" s="63"/>
      <c r="C248" s="19">
        <v>20</v>
      </c>
      <c r="D248" s="206">
        <v>13</v>
      </c>
      <c r="E248" s="177">
        <v>1.1</v>
      </c>
      <c r="F248" s="91">
        <v>13.45</v>
      </c>
      <c r="G248" s="188"/>
      <c r="H248" s="1147">
        <v>400</v>
      </c>
      <c r="I248" s="1082">
        <v>11.7</v>
      </c>
      <c r="J248" s="187">
        <f>H248*I248/C248</f>
        <v>234</v>
      </c>
      <c r="K248" s="1144">
        <f>J248/H248</f>
        <v>0.585</v>
      </c>
      <c r="N248" s="166"/>
      <c r="O248" s="101"/>
      <c r="P248" s="101"/>
      <c r="Q248" s="101"/>
      <c r="R248" s="101"/>
      <c r="S248" s="101"/>
    </row>
    <row r="249" spans="1:19" ht="13.5">
      <c r="A249" s="49" t="s">
        <v>130</v>
      </c>
      <c r="B249" s="10"/>
      <c r="C249" s="15"/>
      <c r="D249" s="180"/>
      <c r="E249" s="180"/>
      <c r="F249" s="181"/>
      <c r="G249" s="181"/>
      <c r="H249" s="1146" t="s">
        <v>129</v>
      </c>
      <c r="I249" s="198">
        <f>SUM(H250:H251)</f>
        <v>2550</v>
      </c>
      <c r="J249" s="595"/>
      <c r="K249" s="871"/>
      <c r="M249" s="95"/>
      <c r="O249" s="101"/>
      <c r="P249" s="101"/>
      <c r="Q249" s="101"/>
      <c r="R249" s="101"/>
      <c r="S249" s="101"/>
    </row>
    <row r="250" spans="1:19" ht="13.5">
      <c r="A250" s="34" t="s">
        <v>62</v>
      </c>
      <c r="B250" s="10" t="s">
        <v>47</v>
      </c>
      <c r="C250" s="15">
        <v>20</v>
      </c>
      <c r="D250" s="811">
        <v>10</v>
      </c>
      <c r="E250" s="811">
        <v>0.8</v>
      </c>
      <c r="F250" s="811">
        <v>10</v>
      </c>
      <c r="G250" s="660">
        <f>D250/E250</f>
        <v>12.5</v>
      </c>
      <c r="H250" s="202">
        <v>2090</v>
      </c>
      <c r="I250" s="197">
        <v>15.9</v>
      </c>
      <c r="J250" s="178">
        <f>H250*I250/C250</f>
        <v>1661.55</v>
      </c>
      <c r="K250" s="889">
        <f>J250/H250</f>
        <v>0.7949999999999999</v>
      </c>
      <c r="M250" s="95"/>
      <c r="O250" s="101"/>
      <c r="P250" s="101"/>
      <c r="Q250" s="101"/>
      <c r="R250" s="101"/>
      <c r="S250" s="101"/>
    </row>
    <row r="251" spans="1:19" ht="13.5">
      <c r="A251" s="34"/>
      <c r="B251" s="10" t="s">
        <v>47</v>
      </c>
      <c r="C251" s="15">
        <v>25</v>
      </c>
      <c r="D251" s="811">
        <v>10</v>
      </c>
      <c r="E251" s="811">
        <v>0.8</v>
      </c>
      <c r="F251" s="811">
        <v>10</v>
      </c>
      <c r="G251" s="660">
        <f>D251/E251</f>
        <v>12.5</v>
      </c>
      <c r="H251" s="202">
        <v>460</v>
      </c>
      <c r="I251" s="197">
        <v>19.4</v>
      </c>
      <c r="J251" s="178">
        <f>H251*I251/C251</f>
        <v>356.96</v>
      </c>
      <c r="K251" s="889">
        <f>J251/H251</f>
        <v>0.7759999999999999</v>
      </c>
      <c r="M251" s="95"/>
      <c r="O251" s="101"/>
      <c r="P251" s="101"/>
      <c r="Q251" s="101"/>
      <c r="R251" s="101"/>
      <c r="S251" s="101"/>
    </row>
    <row r="252" spans="1:19" ht="13.5">
      <c r="A252" s="53" t="s">
        <v>125</v>
      </c>
      <c r="B252" s="64"/>
      <c r="C252" s="7"/>
      <c r="D252" s="181"/>
      <c r="E252" s="181"/>
      <c r="F252" s="181"/>
      <c r="G252" s="180"/>
      <c r="H252" s="631" t="s">
        <v>222</v>
      </c>
      <c r="I252" s="632">
        <f>SUM(H253:H259)</f>
        <v>12110</v>
      </c>
      <c r="J252" s="182"/>
      <c r="K252" s="627"/>
      <c r="M252" s="95"/>
      <c r="O252" s="101"/>
      <c r="P252" s="101"/>
      <c r="Q252" s="101"/>
      <c r="R252" s="101"/>
      <c r="S252" s="101"/>
    </row>
    <row r="253" spans="1:19" ht="13.5">
      <c r="A253" s="34" t="s">
        <v>65</v>
      </c>
      <c r="B253" s="10"/>
      <c r="C253" s="15">
        <v>20</v>
      </c>
      <c r="D253" s="660">
        <v>13.2</v>
      </c>
      <c r="E253" s="660">
        <v>1.05</v>
      </c>
      <c r="F253" s="178"/>
      <c r="G253" s="660">
        <f aca="true" t="shared" si="28" ref="G253:G259">D253/E253</f>
        <v>12.57142857142857</v>
      </c>
      <c r="H253" s="896">
        <v>1300</v>
      </c>
      <c r="I253" s="197">
        <v>15.1</v>
      </c>
      <c r="J253" s="178">
        <f aca="true" t="shared" si="29" ref="J253:J259">H253*I253/C253</f>
        <v>981.5</v>
      </c>
      <c r="K253" s="889">
        <f aca="true" t="shared" si="30" ref="K253:K259">J253/H253</f>
        <v>0.755</v>
      </c>
      <c r="M253" s="95"/>
      <c r="O253" s="101"/>
      <c r="P253" s="101"/>
      <c r="Q253" s="101"/>
      <c r="R253" s="101"/>
      <c r="S253" s="101"/>
    </row>
    <row r="254" spans="1:19" ht="13.5">
      <c r="A254" s="34" t="s">
        <v>227</v>
      </c>
      <c r="B254" s="10" t="s">
        <v>160</v>
      </c>
      <c r="C254" s="15">
        <v>20</v>
      </c>
      <c r="D254" s="660">
        <v>10.2</v>
      </c>
      <c r="E254" s="660">
        <v>0.95</v>
      </c>
      <c r="F254" s="468"/>
      <c r="G254" s="660">
        <f t="shared" si="28"/>
        <v>10.736842105263158</v>
      </c>
      <c r="H254" s="896">
        <v>790</v>
      </c>
      <c r="I254" s="197">
        <v>15.1</v>
      </c>
      <c r="J254" s="178">
        <f t="shared" si="29"/>
        <v>596.45</v>
      </c>
      <c r="K254" s="889">
        <f t="shared" si="30"/>
        <v>0.755</v>
      </c>
      <c r="M254" s="95"/>
      <c r="O254" s="101"/>
      <c r="P254" s="101"/>
      <c r="Q254" s="101"/>
      <c r="R254" s="101"/>
      <c r="S254" s="101"/>
    </row>
    <row r="255" spans="1:19" ht="13.5">
      <c r="A255" s="34" t="s">
        <v>557</v>
      </c>
      <c r="B255" s="10"/>
      <c r="C255" s="15">
        <v>21</v>
      </c>
      <c r="D255" s="660">
        <v>12.7</v>
      </c>
      <c r="E255" s="660">
        <v>1.14</v>
      </c>
      <c r="F255" s="178"/>
      <c r="G255" s="660">
        <f t="shared" si="28"/>
        <v>11.140350877192983</v>
      </c>
      <c r="H255" s="896">
        <v>550</v>
      </c>
      <c r="I255" s="197">
        <v>15.7</v>
      </c>
      <c r="J255" s="178">
        <f t="shared" si="29"/>
        <v>411.1904761904762</v>
      </c>
      <c r="K255" s="889">
        <f t="shared" si="30"/>
        <v>0.7476190476190476</v>
      </c>
      <c r="M255" s="95"/>
      <c r="O255" s="101"/>
      <c r="P255" s="101"/>
      <c r="Q255" s="101"/>
      <c r="R255" s="101"/>
      <c r="S255" s="101"/>
    </row>
    <row r="256" spans="1:19" ht="13.5">
      <c r="A256" s="34" t="s">
        <v>66</v>
      </c>
      <c r="B256" s="10"/>
      <c r="C256" s="15">
        <v>20</v>
      </c>
      <c r="D256" s="660">
        <v>13.2</v>
      </c>
      <c r="E256" s="660">
        <v>1.06</v>
      </c>
      <c r="F256" s="178">
        <v>13.45</v>
      </c>
      <c r="G256" s="660">
        <f t="shared" si="28"/>
        <v>12.452830188679243</v>
      </c>
      <c r="H256" s="896">
        <v>7800</v>
      </c>
      <c r="I256" s="197">
        <v>13</v>
      </c>
      <c r="J256" s="178">
        <f t="shared" si="29"/>
        <v>5070</v>
      </c>
      <c r="K256" s="889">
        <f t="shared" si="30"/>
        <v>0.65</v>
      </c>
      <c r="M256" s="95"/>
      <c r="O256" s="101"/>
      <c r="P256" s="101"/>
      <c r="Q256" s="101"/>
      <c r="R256" s="101"/>
      <c r="S256" s="101"/>
    </row>
    <row r="257" spans="1:19" ht="13.5">
      <c r="A257" s="34" t="s">
        <v>556</v>
      </c>
      <c r="B257" s="10"/>
      <c r="C257" s="15">
        <v>20</v>
      </c>
      <c r="D257" s="660">
        <v>9.3</v>
      </c>
      <c r="E257" s="660">
        <v>0.91</v>
      </c>
      <c r="F257" s="178"/>
      <c r="G257" s="660">
        <f t="shared" si="28"/>
        <v>10.21978021978022</v>
      </c>
      <c r="H257" s="896">
        <v>270</v>
      </c>
      <c r="I257" s="197">
        <v>13</v>
      </c>
      <c r="J257" s="178">
        <f t="shared" si="29"/>
        <v>175.5</v>
      </c>
      <c r="K257" s="889">
        <f t="shared" si="30"/>
        <v>0.65</v>
      </c>
      <c r="M257" s="95"/>
      <c r="O257" s="101"/>
      <c r="P257" s="101"/>
      <c r="Q257" s="101"/>
      <c r="R257" s="101"/>
      <c r="S257" s="101"/>
    </row>
    <row r="258" spans="1:19" ht="13.5">
      <c r="A258" s="34" t="s">
        <v>223</v>
      </c>
      <c r="B258" s="10"/>
      <c r="C258" s="15">
        <v>20</v>
      </c>
      <c r="D258" s="660">
        <v>7</v>
      </c>
      <c r="E258" s="660">
        <v>1.16</v>
      </c>
      <c r="F258" s="468"/>
      <c r="G258" s="660">
        <f t="shared" si="28"/>
        <v>6.03448275862069</v>
      </c>
      <c r="H258" s="896">
        <v>1360</v>
      </c>
      <c r="I258" s="197">
        <v>12.7</v>
      </c>
      <c r="J258" s="178">
        <f t="shared" si="29"/>
        <v>863.6</v>
      </c>
      <c r="K258" s="889">
        <f t="shared" si="30"/>
        <v>0.635</v>
      </c>
      <c r="M258" s="95"/>
      <c r="O258" s="101"/>
      <c r="P258" s="101"/>
      <c r="Q258" s="101"/>
      <c r="R258" s="101"/>
      <c r="S258" s="101"/>
    </row>
    <row r="259" spans="1:19" ht="13.5">
      <c r="A259" s="34" t="s">
        <v>628</v>
      </c>
      <c r="B259" s="10"/>
      <c r="C259" s="15">
        <v>20</v>
      </c>
      <c r="D259" s="660">
        <v>11.4</v>
      </c>
      <c r="E259" s="660">
        <v>0.95</v>
      </c>
      <c r="F259" s="178"/>
      <c r="G259" s="660">
        <f t="shared" si="28"/>
        <v>12.000000000000002</v>
      </c>
      <c r="H259" s="896">
        <v>40</v>
      </c>
      <c r="I259" s="852">
        <v>25</v>
      </c>
      <c r="J259" s="178">
        <f t="shared" si="29"/>
        <v>50</v>
      </c>
      <c r="K259" s="889">
        <f t="shared" si="30"/>
        <v>1.25</v>
      </c>
      <c r="M259" s="95"/>
      <c r="O259" s="101"/>
      <c r="P259" s="101"/>
      <c r="Q259" s="101"/>
      <c r="R259" s="101"/>
      <c r="S259" s="101"/>
    </row>
    <row r="260" spans="1:19" ht="13.5">
      <c r="A260" s="53" t="s">
        <v>127</v>
      </c>
      <c r="B260" s="64"/>
      <c r="C260" s="7"/>
      <c r="D260" s="181"/>
      <c r="E260" s="181"/>
      <c r="F260" s="181"/>
      <c r="G260" s="181"/>
      <c r="H260" s="631" t="s">
        <v>224</v>
      </c>
      <c r="I260" s="632">
        <f>SUM(H261:H267)</f>
        <v>3010</v>
      </c>
      <c r="J260" s="1145"/>
      <c r="K260" s="1145"/>
      <c r="M260" s="95"/>
      <c r="O260" s="101"/>
      <c r="P260" s="101"/>
      <c r="Q260" s="101"/>
      <c r="R260" s="101"/>
      <c r="S260" s="101"/>
    </row>
    <row r="261" spans="1:19" ht="13.5">
      <c r="A261" s="34" t="s">
        <v>128</v>
      </c>
      <c r="B261" s="60"/>
      <c r="C261" s="15">
        <v>20</v>
      </c>
      <c r="D261" s="660">
        <v>13</v>
      </c>
      <c r="E261" s="660">
        <v>1.3</v>
      </c>
      <c r="F261" s="193">
        <v>13</v>
      </c>
      <c r="G261" s="660">
        <f aca="true" t="shared" si="31" ref="G261:G267">D261/E261</f>
        <v>10</v>
      </c>
      <c r="H261" s="202">
        <v>90</v>
      </c>
      <c r="I261" s="196">
        <v>13.5</v>
      </c>
      <c r="J261" s="178">
        <f aca="true" t="shared" si="32" ref="J261:J267">H261*I261/C261</f>
        <v>60.75</v>
      </c>
      <c r="K261" s="889">
        <f aca="true" t="shared" si="33" ref="K261:K267">J261/H261</f>
        <v>0.675</v>
      </c>
      <c r="M261" s="95"/>
      <c r="O261" s="101"/>
      <c r="P261" s="101"/>
      <c r="Q261" s="101"/>
      <c r="R261" s="101"/>
      <c r="S261" s="101"/>
    </row>
    <row r="262" spans="1:19" ht="13.5">
      <c r="A262" s="34" t="s">
        <v>716</v>
      </c>
      <c r="B262" s="60"/>
      <c r="C262" s="15">
        <v>20</v>
      </c>
      <c r="D262" s="177">
        <v>11.31</v>
      </c>
      <c r="E262" s="177">
        <v>0.95</v>
      </c>
      <c r="F262" s="178">
        <v>11</v>
      </c>
      <c r="G262" s="177">
        <f t="shared" si="31"/>
        <v>11.905263157894739</v>
      </c>
      <c r="H262" s="202">
        <v>80</v>
      </c>
      <c r="I262" s="196">
        <v>13.1</v>
      </c>
      <c r="J262" s="178">
        <f t="shared" si="32"/>
        <v>52.4</v>
      </c>
      <c r="K262" s="889">
        <f t="shared" si="33"/>
        <v>0.655</v>
      </c>
      <c r="M262" s="95"/>
      <c r="O262" s="101"/>
      <c r="P262" s="101"/>
      <c r="Q262" s="101"/>
      <c r="R262" s="101"/>
      <c r="S262" s="101"/>
    </row>
    <row r="263" spans="1:19" ht="13.5">
      <c r="A263" s="34" t="s">
        <v>566</v>
      </c>
      <c r="B263" s="60"/>
      <c r="C263" s="15">
        <v>20</v>
      </c>
      <c r="D263" s="660">
        <v>10.9</v>
      </c>
      <c r="E263" s="660">
        <v>0.76</v>
      </c>
      <c r="F263" s="468">
        <v>12.8</v>
      </c>
      <c r="G263" s="660">
        <f t="shared" si="31"/>
        <v>14.342105263157896</v>
      </c>
      <c r="H263" s="202">
        <v>570</v>
      </c>
      <c r="I263" s="196">
        <v>14.6</v>
      </c>
      <c r="J263" s="178">
        <f t="shared" si="32"/>
        <v>416.1</v>
      </c>
      <c r="K263" s="889">
        <f t="shared" si="33"/>
        <v>0.7300000000000001</v>
      </c>
      <c r="M263" s="95"/>
      <c r="O263" s="101"/>
      <c r="P263" s="101"/>
      <c r="Q263" s="101"/>
      <c r="R263" s="101"/>
      <c r="S263" s="101"/>
    </row>
    <row r="264" spans="1:19" ht="13.5">
      <c r="A264" s="34" t="s">
        <v>567</v>
      </c>
      <c r="B264" s="60"/>
      <c r="C264" s="15">
        <v>20</v>
      </c>
      <c r="D264" s="660">
        <v>14.5</v>
      </c>
      <c r="E264" s="660">
        <v>1.4</v>
      </c>
      <c r="F264" s="468">
        <v>15</v>
      </c>
      <c r="G264" s="660">
        <f t="shared" si="31"/>
        <v>10.357142857142858</v>
      </c>
      <c r="H264" s="202">
        <v>730</v>
      </c>
      <c r="I264" s="196">
        <v>13.5</v>
      </c>
      <c r="J264" s="178">
        <f t="shared" si="32"/>
        <v>492.75</v>
      </c>
      <c r="K264" s="889">
        <f t="shared" si="33"/>
        <v>0.675</v>
      </c>
      <c r="M264" s="95"/>
      <c r="O264" s="101"/>
      <c r="P264" s="101"/>
      <c r="Q264" s="101"/>
      <c r="R264" s="101"/>
      <c r="S264" s="101"/>
    </row>
    <row r="265" spans="1:19" ht="13.5">
      <c r="A265" s="34" t="s">
        <v>60</v>
      </c>
      <c r="B265" s="60"/>
      <c r="C265" s="15">
        <v>20</v>
      </c>
      <c r="D265" s="660">
        <v>12</v>
      </c>
      <c r="E265" s="660">
        <v>1.3</v>
      </c>
      <c r="F265" s="178"/>
      <c r="G265" s="660">
        <f t="shared" si="31"/>
        <v>9.23076923076923</v>
      </c>
      <c r="H265" s="202">
        <v>220</v>
      </c>
      <c r="I265" s="196">
        <v>14.6</v>
      </c>
      <c r="J265" s="178">
        <f t="shared" si="32"/>
        <v>160.6</v>
      </c>
      <c r="K265" s="889">
        <f t="shared" si="33"/>
        <v>0.73</v>
      </c>
      <c r="M265" s="95"/>
      <c r="O265" s="101"/>
      <c r="P265" s="101"/>
      <c r="Q265" s="101"/>
      <c r="R265" s="101"/>
      <c r="S265" s="101"/>
    </row>
    <row r="266" spans="1:19" ht="13.5">
      <c r="A266" s="34" t="s">
        <v>568</v>
      </c>
      <c r="B266" s="60"/>
      <c r="C266" s="15">
        <v>20</v>
      </c>
      <c r="D266" s="660">
        <v>12</v>
      </c>
      <c r="E266" s="660">
        <v>1.1</v>
      </c>
      <c r="F266" s="468">
        <v>12</v>
      </c>
      <c r="G266" s="660">
        <f t="shared" si="31"/>
        <v>10.909090909090908</v>
      </c>
      <c r="H266" s="202">
        <v>1080</v>
      </c>
      <c r="I266" s="196">
        <v>13.1</v>
      </c>
      <c r="J266" s="178">
        <f t="shared" si="32"/>
        <v>707.4</v>
      </c>
      <c r="K266" s="889">
        <f t="shared" si="33"/>
        <v>0.655</v>
      </c>
      <c r="M266" s="95"/>
      <c r="O266" s="101"/>
      <c r="P266" s="101"/>
      <c r="Q266" s="101"/>
      <c r="R266" s="101"/>
      <c r="S266" s="101"/>
    </row>
    <row r="267" spans="1:19" ht="13.5">
      <c r="A267" s="34" t="s">
        <v>61</v>
      </c>
      <c r="B267" s="60"/>
      <c r="C267" s="15">
        <v>20</v>
      </c>
      <c r="D267" s="177">
        <v>12</v>
      </c>
      <c r="E267" s="177">
        <v>1.1</v>
      </c>
      <c r="F267" s="178">
        <v>13</v>
      </c>
      <c r="G267" s="177">
        <f t="shared" si="31"/>
        <v>10.909090909090908</v>
      </c>
      <c r="H267" s="202">
        <v>240</v>
      </c>
      <c r="I267" s="196">
        <v>14.3</v>
      </c>
      <c r="J267" s="178">
        <f t="shared" si="32"/>
        <v>171.6</v>
      </c>
      <c r="K267" s="1144">
        <f t="shared" si="33"/>
        <v>0.715</v>
      </c>
      <c r="M267" s="95"/>
      <c r="O267" s="101"/>
      <c r="P267" s="101"/>
      <c r="Q267" s="101"/>
      <c r="R267" s="101"/>
      <c r="S267" s="101"/>
    </row>
    <row r="268" spans="1:19" ht="13.5">
      <c r="A268" s="53" t="s">
        <v>477</v>
      </c>
      <c r="B268" s="64"/>
      <c r="C268" s="693"/>
      <c r="D268" s="694"/>
      <c r="E268" s="694"/>
      <c r="F268" s="1"/>
      <c r="G268" s="180"/>
      <c r="H268" s="631" t="s">
        <v>225</v>
      </c>
      <c r="I268" s="632">
        <f>SUM(H269:H280)</f>
        <v>9108.11</v>
      </c>
      <c r="J268" s="182"/>
      <c r="K268" s="41"/>
      <c r="M268" s="95"/>
      <c r="O268" s="101"/>
      <c r="P268" s="101"/>
      <c r="Q268" s="101"/>
      <c r="R268" s="101"/>
      <c r="S268" s="101"/>
    </row>
    <row r="269" spans="1:19" ht="13.5">
      <c r="A269" s="49" t="s">
        <v>508</v>
      </c>
      <c r="B269" s="10" t="s">
        <v>188</v>
      </c>
      <c r="C269" s="15">
        <v>20</v>
      </c>
      <c r="D269" s="91"/>
      <c r="E269" s="91"/>
      <c r="F269" s="91"/>
      <c r="G269" s="177"/>
      <c r="H269" s="896">
        <v>167.98</v>
      </c>
      <c r="I269" s="195">
        <v>13.8</v>
      </c>
      <c r="J269" s="178">
        <f>H269*I269/C269</f>
        <v>115.90619999999998</v>
      </c>
      <c r="K269" s="889">
        <f>J269/H269</f>
        <v>0.69</v>
      </c>
      <c r="M269" s="95"/>
      <c r="O269" s="101"/>
      <c r="P269" s="101"/>
      <c r="Q269" s="101"/>
      <c r="R269" s="101"/>
      <c r="S269" s="101"/>
    </row>
    <row r="270" spans="1:19" ht="13.5">
      <c r="A270" s="34"/>
      <c r="B270" s="10" t="s">
        <v>183</v>
      </c>
      <c r="C270" s="15">
        <v>20</v>
      </c>
      <c r="D270" s="91"/>
      <c r="E270" s="91"/>
      <c r="F270" s="91"/>
      <c r="G270" s="177"/>
      <c r="H270" s="896">
        <v>26.62</v>
      </c>
      <c r="I270" s="195">
        <v>13.8</v>
      </c>
      <c r="J270" s="178">
        <f aca="true" t="shared" si="34" ref="J270:J276">H270*I270/C270</f>
        <v>18.367800000000003</v>
      </c>
      <c r="K270" s="889">
        <f aca="true" t="shared" si="35" ref="K270:K276">J270/H270</f>
        <v>0.6900000000000001</v>
      </c>
      <c r="M270" s="95"/>
      <c r="O270" s="101"/>
      <c r="P270" s="101"/>
      <c r="Q270" s="101"/>
      <c r="R270" s="101"/>
      <c r="S270" s="101"/>
    </row>
    <row r="271" spans="1:19" ht="13.5">
      <c r="A271" s="34"/>
      <c r="B271" s="10" t="s">
        <v>188</v>
      </c>
      <c r="C271" s="15">
        <v>25</v>
      </c>
      <c r="D271" s="91"/>
      <c r="E271" s="91"/>
      <c r="F271" s="91"/>
      <c r="G271" s="177"/>
      <c r="H271" s="896">
        <v>215.9</v>
      </c>
      <c r="I271" s="195">
        <v>16.9</v>
      </c>
      <c r="J271" s="178">
        <f t="shared" si="34"/>
        <v>145.9484</v>
      </c>
      <c r="K271" s="889">
        <f t="shared" si="35"/>
        <v>0.6759999999999999</v>
      </c>
      <c r="M271" s="95"/>
      <c r="O271" s="101"/>
      <c r="P271" s="101"/>
      <c r="Q271" s="101"/>
      <c r="R271" s="101"/>
      <c r="S271" s="101"/>
    </row>
    <row r="272" spans="1:19" ht="13.5">
      <c r="A272" s="49" t="s">
        <v>509</v>
      </c>
      <c r="B272" s="10" t="s">
        <v>450</v>
      </c>
      <c r="C272" s="15">
        <v>20</v>
      </c>
      <c r="D272" s="193">
        <v>10.3</v>
      </c>
      <c r="E272" s="193">
        <v>0.79</v>
      </c>
      <c r="F272" s="193">
        <v>10.9</v>
      </c>
      <c r="G272" s="660">
        <f>D272/E272</f>
        <v>13.037974683544304</v>
      </c>
      <c r="H272" s="896">
        <v>5340.38</v>
      </c>
      <c r="I272" s="195">
        <v>12.9</v>
      </c>
      <c r="J272" s="178">
        <f t="shared" si="34"/>
        <v>3444.5451000000003</v>
      </c>
      <c r="K272" s="889">
        <f t="shared" si="35"/>
        <v>0.645</v>
      </c>
      <c r="M272" s="95"/>
      <c r="N272" s="101"/>
      <c r="O272" s="101"/>
      <c r="P272" s="101"/>
      <c r="Q272" s="101"/>
      <c r="R272" s="101"/>
      <c r="S272" s="101"/>
    </row>
    <row r="273" spans="1:19" ht="13.5">
      <c r="A273" s="34"/>
      <c r="B273" s="10" t="s">
        <v>450</v>
      </c>
      <c r="C273" s="15">
        <v>30</v>
      </c>
      <c r="D273" s="91">
        <v>10.3</v>
      </c>
      <c r="E273" s="193">
        <v>0.79</v>
      </c>
      <c r="F273" s="193">
        <v>10.9</v>
      </c>
      <c r="G273" s="660">
        <f>D273/E273</f>
        <v>13.037974683544304</v>
      </c>
      <c r="H273" s="896">
        <v>1539.69</v>
      </c>
      <c r="I273" s="195">
        <v>19.4</v>
      </c>
      <c r="J273" s="178">
        <f t="shared" si="34"/>
        <v>995.6661999999999</v>
      </c>
      <c r="K273" s="889">
        <f t="shared" si="35"/>
        <v>0.6466666666666666</v>
      </c>
      <c r="M273" s="95"/>
      <c r="O273" s="101"/>
      <c r="P273" s="101"/>
      <c r="Q273" s="101"/>
      <c r="R273" s="101"/>
      <c r="S273" s="101"/>
    </row>
    <row r="274" spans="1:19" ht="13.5">
      <c r="A274" s="34"/>
      <c r="B274" s="10" t="s">
        <v>210</v>
      </c>
      <c r="C274" s="15">
        <v>20</v>
      </c>
      <c r="D274" s="91"/>
      <c r="E274" s="193"/>
      <c r="F274" s="193"/>
      <c r="G274" s="660"/>
      <c r="H274" s="896">
        <v>476</v>
      </c>
      <c r="I274" s="195">
        <v>12.9</v>
      </c>
      <c r="J274" s="178">
        <f t="shared" si="34"/>
        <v>307.02000000000004</v>
      </c>
      <c r="K274" s="889">
        <f t="shared" si="35"/>
        <v>0.6450000000000001</v>
      </c>
      <c r="M274" s="95"/>
      <c r="O274" s="101"/>
      <c r="P274" s="101"/>
      <c r="Q274" s="101"/>
      <c r="R274" s="101"/>
      <c r="S274" s="101"/>
    </row>
    <row r="275" spans="1:19" ht="13.5">
      <c r="A275" s="34"/>
      <c r="B275" s="10" t="s">
        <v>627</v>
      </c>
      <c r="C275" s="15">
        <v>20</v>
      </c>
      <c r="D275" s="193">
        <v>7.05</v>
      </c>
      <c r="E275" s="193">
        <v>0.53</v>
      </c>
      <c r="F275" s="193">
        <v>9.2</v>
      </c>
      <c r="G275" s="660">
        <f>D275/E275</f>
        <v>13.301886792452828</v>
      </c>
      <c r="H275" s="896">
        <v>507.34</v>
      </c>
      <c r="I275" s="195">
        <v>11.4</v>
      </c>
      <c r="J275" s="178">
        <f t="shared" si="34"/>
        <v>289.18379999999996</v>
      </c>
      <c r="K275" s="889">
        <f t="shared" si="35"/>
        <v>0.57</v>
      </c>
      <c r="M275" s="95"/>
      <c r="O275" s="101"/>
      <c r="P275" s="101"/>
      <c r="Q275" s="101"/>
      <c r="R275" s="101"/>
      <c r="S275" s="101"/>
    </row>
    <row r="276" spans="1:19" ht="13.5">
      <c r="A276" s="34"/>
      <c r="B276" s="10" t="s">
        <v>183</v>
      </c>
      <c r="C276" s="15">
        <v>30</v>
      </c>
      <c r="D276" s="193">
        <v>7.05</v>
      </c>
      <c r="E276" s="193">
        <v>0.53</v>
      </c>
      <c r="F276" s="193">
        <v>9.2</v>
      </c>
      <c r="G276" s="660">
        <f>D276/E276</f>
        <v>13.301886792452828</v>
      </c>
      <c r="H276" s="896">
        <v>133.2</v>
      </c>
      <c r="I276" s="195">
        <v>19.4</v>
      </c>
      <c r="J276" s="178">
        <f t="shared" si="34"/>
        <v>86.13599999999998</v>
      </c>
      <c r="K276" s="889">
        <f t="shared" si="35"/>
        <v>0.6466666666666666</v>
      </c>
      <c r="M276" s="95"/>
      <c r="O276" s="101"/>
      <c r="P276" s="101"/>
      <c r="Q276" s="101"/>
      <c r="R276" s="101"/>
      <c r="S276" s="101"/>
    </row>
    <row r="277" spans="1:19" ht="13.5">
      <c r="A277" s="34"/>
      <c r="B277" s="10" t="s">
        <v>507</v>
      </c>
      <c r="C277" s="15">
        <v>20</v>
      </c>
      <c r="D277" s="145"/>
      <c r="E277" s="145"/>
      <c r="F277" s="584" t="s">
        <v>513</v>
      </c>
      <c r="G277" s="1141"/>
      <c r="H277" s="897">
        <v>104</v>
      </c>
      <c r="I277" s="195">
        <v>14</v>
      </c>
      <c r="J277" s="178">
        <f>H277*I277/C277</f>
        <v>72.8</v>
      </c>
      <c r="K277" s="889">
        <f>I277/20</f>
        <v>0.7</v>
      </c>
      <c r="M277" s="95"/>
      <c r="O277" s="101"/>
      <c r="P277" s="101"/>
      <c r="Q277" s="101"/>
      <c r="R277" s="101"/>
      <c r="S277" s="101"/>
    </row>
    <row r="278" spans="1:19" ht="13.5">
      <c r="A278" s="34" t="s">
        <v>551</v>
      </c>
      <c r="B278" s="10" t="s">
        <v>606</v>
      </c>
      <c r="C278" s="15">
        <v>20</v>
      </c>
      <c r="D278" s="643">
        <v>10.2</v>
      </c>
      <c r="E278" s="643">
        <v>0.74</v>
      </c>
      <c r="F278" s="643">
        <v>10.95</v>
      </c>
      <c r="G278" s="1142">
        <f>D278/E278</f>
        <v>13.783783783783782</v>
      </c>
      <c r="H278" s="897">
        <v>277</v>
      </c>
      <c r="I278" s="195">
        <v>12.8</v>
      </c>
      <c r="J278" s="178">
        <f>H278*I278/C278</f>
        <v>177.28000000000003</v>
      </c>
      <c r="K278" s="889">
        <f>I278/20</f>
        <v>0.64</v>
      </c>
      <c r="M278" s="95"/>
      <c r="O278" s="101"/>
      <c r="P278" s="101"/>
      <c r="Q278" s="101"/>
      <c r="R278" s="101"/>
      <c r="S278" s="101"/>
    </row>
    <row r="279" spans="1:19" ht="13.5">
      <c r="A279" s="34"/>
      <c r="B279" s="10" t="s">
        <v>605</v>
      </c>
      <c r="C279" s="15">
        <v>20</v>
      </c>
      <c r="D279" s="643">
        <v>6.95</v>
      </c>
      <c r="E279" s="643">
        <v>0.56</v>
      </c>
      <c r="F279" s="643">
        <v>8.85</v>
      </c>
      <c r="G279" s="1142">
        <f>D279/E279</f>
        <v>12.410714285714285</v>
      </c>
      <c r="H279" s="897">
        <v>53</v>
      </c>
      <c r="I279" s="195">
        <v>12.8</v>
      </c>
      <c r="J279" s="178">
        <f>H279*I279/C279</f>
        <v>33.92</v>
      </c>
      <c r="K279" s="889">
        <f>I279/20</f>
        <v>0.64</v>
      </c>
      <c r="L279" s="115"/>
      <c r="M279" s="95"/>
      <c r="O279" s="101"/>
      <c r="P279" s="101"/>
      <c r="Q279" s="101"/>
      <c r="R279" s="101"/>
      <c r="S279" s="101"/>
    </row>
    <row r="280" spans="1:19" ht="13.5">
      <c r="A280" s="34"/>
      <c r="B280" s="10" t="s">
        <v>506</v>
      </c>
      <c r="C280" s="15">
        <v>20</v>
      </c>
      <c r="D280" s="91">
        <v>9.71</v>
      </c>
      <c r="E280" s="91">
        <v>1.1</v>
      </c>
      <c r="F280" s="91">
        <v>9.6</v>
      </c>
      <c r="G280" s="1143">
        <f>D280/E280</f>
        <v>8.827272727272728</v>
      </c>
      <c r="H280" s="540">
        <v>267</v>
      </c>
      <c r="I280" s="195">
        <v>13.9</v>
      </c>
      <c r="J280" s="178">
        <f>H280*I280/C280</f>
        <v>185.565</v>
      </c>
      <c r="K280" s="889">
        <f>J280/H280</f>
        <v>0.695</v>
      </c>
      <c r="L280" s="641"/>
      <c r="M280" s="95"/>
      <c r="O280" s="101"/>
      <c r="P280" s="101"/>
      <c r="Q280" s="101"/>
      <c r="R280" s="101"/>
      <c r="S280" s="101"/>
    </row>
    <row r="281" spans="1:19" ht="13.5">
      <c r="A281" s="53" t="s">
        <v>722</v>
      </c>
      <c r="B281" s="6"/>
      <c r="C281" s="7"/>
      <c r="D281" s="1138"/>
      <c r="E281" s="181"/>
      <c r="F281" s="181"/>
      <c r="G281" s="180"/>
      <c r="H281" s="1139" t="s">
        <v>503</v>
      </c>
      <c r="I281" s="632">
        <f>SUM(H282:H284)</f>
        <v>130.18</v>
      </c>
      <c r="J281" s="182"/>
      <c r="K281" s="627"/>
      <c r="L281" s="641"/>
      <c r="M281" s="95"/>
      <c r="N281" s="166"/>
      <c r="O281" s="101"/>
      <c r="P281" s="101"/>
      <c r="Q281" s="101"/>
      <c r="R281" s="101"/>
      <c r="S281" s="101"/>
    </row>
    <row r="282" spans="1:19" ht="13.5">
      <c r="A282" s="49" t="s">
        <v>382</v>
      </c>
      <c r="B282" s="10"/>
      <c r="C282" s="15">
        <v>20</v>
      </c>
      <c r="D282" s="856" t="s">
        <v>735</v>
      </c>
      <c r="E282" s="91"/>
      <c r="F282" s="91"/>
      <c r="G282" s="177"/>
      <c r="H282" s="540">
        <f>2567*20/1000</f>
        <v>51.34</v>
      </c>
      <c r="I282" s="195">
        <v>18</v>
      </c>
      <c r="J282" s="178">
        <f>H282*I282/C282</f>
        <v>46.206</v>
      </c>
      <c r="K282" s="889">
        <f>J282/H282</f>
        <v>0.9</v>
      </c>
      <c r="M282" s="95"/>
      <c r="O282" s="101"/>
      <c r="P282" s="101"/>
      <c r="Q282" s="101"/>
      <c r="R282" s="101"/>
      <c r="S282" s="101"/>
    </row>
    <row r="283" spans="1:19" ht="13.5">
      <c r="A283" s="49" t="s">
        <v>703</v>
      </c>
      <c r="B283" s="10" t="s">
        <v>434</v>
      </c>
      <c r="C283" s="15">
        <v>20</v>
      </c>
      <c r="D283" s="855"/>
      <c r="E283" s="91"/>
      <c r="F283" s="91"/>
      <c r="G283" s="177"/>
      <c r="H283" s="540">
        <f>2261*20/1000</f>
        <v>45.22</v>
      </c>
      <c r="I283" s="41">
        <v>18</v>
      </c>
      <c r="J283" s="178">
        <f>H283*I283/C283</f>
        <v>40.698</v>
      </c>
      <c r="K283" s="889">
        <f>J283/H283</f>
        <v>0.9</v>
      </c>
      <c r="L283" s="95"/>
      <c r="O283" s="101"/>
      <c r="P283" s="101"/>
      <c r="Q283" s="101"/>
      <c r="R283" s="101"/>
      <c r="S283" s="101"/>
    </row>
    <row r="284" spans="1:19" ht="13.5">
      <c r="A284" s="49" t="s">
        <v>553</v>
      </c>
      <c r="B284" s="10"/>
      <c r="C284" s="15">
        <v>20</v>
      </c>
      <c r="D284" s="856"/>
      <c r="E284" s="91"/>
      <c r="F284" s="91"/>
      <c r="G284" s="177"/>
      <c r="H284" s="540">
        <f>1681*20/1000</f>
        <v>33.62</v>
      </c>
      <c r="I284" s="195">
        <v>18</v>
      </c>
      <c r="J284" s="178">
        <f>H284*I284/C284</f>
        <v>30.258</v>
      </c>
      <c r="K284" s="889">
        <f>J284/H284</f>
        <v>0.9</v>
      </c>
      <c r="L284" s="95"/>
      <c r="O284" s="101"/>
      <c r="P284" s="101"/>
      <c r="Q284" s="101"/>
      <c r="R284" s="101"/>
      <c r="S284" s="101"/>
    </row>
    <row r="285" spans="1:19" ht="13.5">
      <c r="A285" s="53" t="s">
        <v>570</v>
      </c>
      <c r="B285" s="6"/>
      <c r="C285" s="7"/>
      <c r="D285" s="1140"/>
      <c r="E285" s="181"/>
      <c r="F285" s="181"/>
      <c r="G285" s="180"/>
      <c r="H285" s="1139" t="s">
        <v>658</v>
      </c>
      <c r="I285" s="632">
        <f>SUM(H286:H288)</f>
        <v>256</v>
      </c>
      <c r="J285" s="182"/>
      <c r="K285" s="888"/>
      <c r="M285" s="95"/>
      <c r="N285" s="41"/>
      <c r="O285" s="101"/>
      <c r="P285" s="101"/>
      <c r="Q285" s="101"/>
      <c r="R285" s="101"/>
      <c r="S285" s="101"/>
    </row>
    <row r="286" spans="1:19" ht="13.5">
      <c r="A286" s="49" t="s">
        <v>569</v>
      </c>
      <c r="B286" s="10"/>
      <c r="C286" s="15">
        <v>20</v>
      </c>
      <c r="D286" s="856"/>
      <c r="E286" s="91"/>
      <c r="F286" s="91"/>
      <c r="G286" s="177"/>
      <c r="H286" s="540">
        <v>18.4</v>
      </c>
      <c r="I286" s="195">
        <f>0.883*20</f>
        <v>17.66</v>
      </c>
      <c r="J286" s="178">
        <f>H286*I286/C286</f>
        <v>16.2472</v>
      </c>
      <c r="K286" s="889">
        <f>J286/H286</f>
        <v>0.883</v>
      </c>
      <c r="M286" s="95"/>
      <c r="O286" s="101"/>
      <c r="P286" s="101"/>
      <c r="Q286" s="101"/>
      <c r="R286" s="101"/>
      <c r="S286" s="101"/>
    </row>
    <row r="287" spans="1:19" ht="13.5">
      <c r="A287" s="49" t="s">
        <v>718</v>
      </c>
      <c r="B287" s="10"/>
      <c r="C287" s="15">
        <v>20</v>
      </c>
      <c r="D287" s="856"/>
      <c r="E287" s="91"/>
      <c r="F287" s="91"/>
      <c r="G287" s="177"/>
      <c r="H287" s="540">
        <v>110.1</v>
      </c>
      <c r="I287" s="195">
        <f>0.883*20</f>
        <v>17.66</v>
      </c>
      <c r="J287" s="178">
        <f>H287*I287/C287</f>
        <v>97.2183</v>
      </c>
      <c r="K287" s="889">
        <f>J287/H287</f>
        <v>0.883</v>
      </c>
      <c r="M287" s="95"/>
      <c r="O287" s="101"/>
      <c r="P287" s="101"/>
      <c r="Q287" s="101"/>
      <c r="R287" s="101"/>
      <c r="S287" s="101"/>
    </row>
    <row r="288" spans="1:19" ht="13.5">
      <c r="A288" s="49" t="s">
        <v>719</v>
      </c>
      <c r="B288" s="10"/>
      <c r="C288" s="15">
        <v>20</v>
      </c>
      <c r="D288" s="856"/>
      <c r="E288" s="91"/>
      <c r="F288" s="91"/>
      <c r="G288" s="177"/>
      <c r="H288" s="540">
        <v>127.5</v>
      </c>
      <c r="I288" s="195">
        <f>0.883*20</f>
        <v>17.66</v>
      </c>
      <c r="J288" s="178">
        <f>H288*I288/C288</f>
        <v>112.58250000000001</v>
      </c>
      <c r="K288" s="889">
        <f>J288/H288</f>
        <v>0.8830000000000001</v>
      </c>
      <c r="M288" s="95"/>
      <c r="O288" s="101"/>
      <c r="P288" s="101"/>
      <c r="Q288" s="101"/>
      <c r="R288" s="101"/>
      <c r="S288" s="101"/>
    </row>
    <row r="289" spans="1:13" ht="13.5">
      <c r="A289" s="50" t="s">
        <v>383</v>
      </c>
      <c r="B289" s="56"/>
      <c r="C289" s="52"/>
      <c r="D289" s="1120">
        <f>SUMPRODUCT(D244:D280,$H244:$H280)/(SUM($H250:$H280)-$H262-$H274-$H277-SUM($H269-$H271))</f>
        <v>13.103617476552614</v>
      </c>
      <c r="E289" s="1122">
        <f>SUMPRODUCT(E244:E280,$H244:$H280)/(SUM($H250:$H280)-$H262-$H274-$H277-SUM($H269-$H271))</f>
        <v>1.1289867626078547</v>
      </c>
      <c r="F289" s="1122">
        <f>SUMPRODUCT(F244:F280,$H244:$H280)/(SUM($H250:$H280)-$H262-$H274-$H277-SUM($H269-$H271))</f>
        <v>11.148696649816575</v>
      </c>
      <c r="G289" s="1122">
        <f>D289/E289</f>
        <v>11.606528889926462</v>
      </c>
      <c r="H289" s="1171">
        <f>SUM(H244:H288)</f>
        <v>31364.29</v>
      </c>
      <c r="I289" s="1180">
        <f>SUM(I243,I249,I252,I260,I268,I281,I285)</f>
        <v>31364.29</v>
      </c>
      <c r="J289" s="1171">
        <f>SUM(J244:J288)</f>
        <v>21144.89897619047</v>
      </c>
      <c r="K289" s="1181">
        <f>J289/H289</f>
        <v>0.6741711346308323</v>
      </c>
      <c r="M289" s="95"/>
    </row>
    <row r="290" spans="10:13" ht="12.75">
      <c r="J290" s="198"/>
      <c r="K290" s="198"/>
      <c r="M290" s="95"/>
    </row>
    <row r="291" spans="1:13" ht="12.75">
      <c r="A291" s="1"/>
      <c r="B291" s="1"/>
      <c r="C291" s="1"/>
      <c r="D291" s="1" t="s">
        <v>681</v>
      </c>
      <c r="E291" s="1" t="s">
        <v>683</v>
      </c>
      <c r="F291" s="1" t="s">
        <v>31</v>
      </c>
      <c r="G291" s="1" t="s">
        <v>682</v>
      </c>
      <c r="H291" s="1172" t="s">
        <v>800</v>
      </c>
      <c r="I291" s="1166"/>
      <c r="J291" s="632" t="s">
        <v>877</v>
      </c>
      <c r="K291" s="632" t="s">
        <v>680</v>
      </c>
      <c r="M291" s="95"/>
    </row>
    <row r="292" spans="1:19" ht="13.5">
      <c r="A292" s="50" t="s">
        <v>384</v>
      </c>
      <c r="B292" s="51" t="s">
        <v>668</v>
      </c>
      <c r="C292" s="1177"/>
      <c r="D292" s="1178">
        <f>SUM(D126*$H126,D196*$H196,D235*$H235,D289*$H289)/$H292</f>
        <v>11.32883968356503</v>
      </c>
      <c r="E292" s="1178">
        <f>SUM(E126*$H126,E196*$H196,E235*$H235,E289*$H289)/$H292</f>
        <v>0.9508418511477216</v>
      </c>
      <c r="F292" s="1178">
        <f>SUM(F126*$H126,F196*$H196,F235*$H235,F289*$H289)/$H292</f>
        <v>13.3967174189518</v>
      </c>
      <c r="G292" s="1178">
        <f>SUM(G126*$H126,G196*$H196,G235*$H235,G289*$H289)/$H292</f>
        <v>12.046280308240235</v>
      </c>
      <c r="H292" s="1179">
        <f>SUM(H197,H235,H289)</f>
        <v>2016654.29</v>
      </c>
      <c r="I292" s="1179">
        <f>SUM(I197,I235,I289)</f>
        <v>2016654.29</v>
      </c>
      <c r="J292" s="1179">
        <f>SUM(J197,J235,J289)</f>
        <v>1453349.8907952379</v>
      </c>
      <c r="K292" s="752">
        <f>J292/H292</f>
        <v>0.7206737902485199</v>
      </c>
      <c r="M292" s="95"/>
      <c r="O292" s="101"/>
      <c r="P292" s="101"/>
      <c r="Q292" s="101"/>
      <c r="R292" s="101"/>
      <c r="S292" s="101"/>
    </row>
    <row r="293" spans="4:19" ht="12.75">
      <c r="D293" s="1173" t="s">
        <v>385</v>
      </c>
      <c r="E293" s="1174"/>
      <c r="F293" s="1175"/>
      <c r="G293" s="1176"/>
      <c r="H293" s="640"/>
      <c r="I293" s="640"/>
      <c r="J293" s="204"/>
      <c r="K293" s="26"/>
      <c r="M293" s="95"/>
      <c r="O293" s="1215"/>
      <c r="P293" s="1215"/>
      <c r="Q293" s="1215"/>
      <c r="R293" s="1215"/>
      <c r="S293" s="1215"/>
    </row>
    <row r="294" spans="5:13" ht="12.75">
      <c r="E294" t="s">
        <v>654</v>
      </c>
      <c r="H294" s="41">
        <f>COUNT(H10:H288)-4</f>
        <v>217</v>
      </c>
      <c r="I294" t="s">
        <v>901</v>
      </c>
      <c r="M294" s="95"/>
    </row>
    <row r="295" spans="1:13" ht="12.75">
      <c r="A295" t="s">
        <v>97</v>
      </c>
      <c r="B295" s="95" t="s">
        <v>471</v>
      </c>
      <c r="C295" s="169"/>
      <c r="D295" s="169"/>
      <c r="E295" s="643"/>
      <c r="F295" s="163"/>
      <c r="G295" s="4"/>
      <c r="H295" s="649" t="s">
        <v>510</v>
      </c>
      <c r="I295" s="691"/>
      <c r="J295" s="210"/>
      <c r="K295" s="198"/>
      <c r="M295" s="95"/>
    </row>
    <row r="296" spans="2:13" ht="12.75">
      <c r="B296" t="s">
        <v>632</v>
      </c>
      <c r="F296" s="1208"/>
      <c r="G296" s="1208"/>
      <c r="H296" s="1208"/>
      <c r="I296" s="640"/>
      <c r="J296" s="26"/>
      <c r="K296" s="26"/>
      <c r="M296" s="95"/>
    </row>
    <row r="297" spans="6:13" ht="12.75">
      <c r="F297" s="1211"/>
      <c r="G297" s="1211"/>
      <c r="H297" s="1211"/>
      <c r="I297" s="640"/>
      <c r="J297" s="26"/>
      <c r="K297" s="26"/>
      <c r="M297" s="95"/>
    </row>
    <row r="298" spans="1:13" ht="12.75">
      <c r="A298" s="54"/>
      <c r="B298" s="54"/>
      <c r="C298" s="54"/>
      <c r="D298" s="54"/>
      <c r="E298" s="54"/>
      <c r="F298" s="1211"/>
      <c r="G298" s="1211"/>
      <c r="H298" s="1211"/>
      <c r="I298" s="640"/>
      <c r="J298" s="26"/>
      <c r="K298" s="26"/>
      <c r="M298" s="95"/>
    </row>
    <row r="299" spans="1:13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M299" s="95"/>
    </row>
    <row r="300" spans="1:13" ht="15.75">
      <c r="A300" s="391" t="s">
        <v>872</v>
      </c>
      <c r="B300" s="54"/>
      <c r="C300" s="54"/>
      <c r="D300" s="54"/>
      <c r="I300" s="641" t="s">
        <v>793</v>
      </c>
      <c r="J300" s="54"/>
      <c r="K300" s="54"/>
      <c r="M300" s="95"/>
    </row>
    <row r="301" spans="1:13" ht="15.75">
      <c r="A301" s="70" t="s">
        <v>288</v>
      </c>
      <c r="I301" t="s">
        <v>903</v>
      </c>
      <c r="M301" s="95"/>
    </row>
    <row r="302" spans="1:13" ht="12.75">
      <c r="A302" s="58" t="s">
        <v>671</v>
      </c>
      <c r="C302" s="763"/>
      <c r="D302" s="763"/>
      <c r="E302" s="763"/>
      <c r="F302" s="763"/>
      <c r="G302" s="763"/>
      <c r="M302" s="95"/>
    </row>
    <row r="303" spans="1:13" ht="12.75">
      <c r="A303" s="762" t="s">
        <v>744</v>
      </c>
      <c r="B303" s="1191"/>
      <c r="C303" s="1191"/>
      <c r="D303" s="762"/>
      <c r="E303" s="1190">
        <v>2012</v>
      </c>
      <c r="F303" s="1190">
        <v>2012</v>
      </c>
      <c r="G303" s="1190"/>
      <c r="H303" s="1190">
        <v>2012</v>
      </c>
      <c r="I303" s="8"/>
      <c r="J303" s="8">
        <v>2012</v>
      </c>
      <c r="K303" s="8">
        <v>2012</v>
      </c>
      <c r="M303" s="95"/>
    </row>
    <row r="304" spans="1:13" ht="12.75">
      <c r="A304" s="1133" t="s">
        <v>747</v>
      </c>
      <c r="B304" s="1134"/>
      <c r="C304" s="1135"/>
      <c r="D304" s="1097" t="s">
        <v>869</v>
      </c>
      <c r="E304" s="719"/>
      <c r="F304" s="23" t="s">
        <v>794</v>
      </c>
      <c r="G304" s="23"/>
      <c r="H304" s="23" t="s">
        <v>795</v>
      </c>
      <c r="I304" s="23"/>
      <c r="J304" s="23" t="s">
        <v>792</v>
      </c>
      <c r="K304" s="23" t="s">
        <v>228</v>
      </c>
      <c r="M304" s="95"/>
    </row>
    <row r="305" spans="1:13" ht="12.75">
      <c r="A305" s="939" t="s">
        <v>745</v>
      </c>
      <c r="B305" s="939"/>
      <c r="C305" s="939"/>
      <c r="E305" s="4">
        <v>200</v>
      </c>
      <c r="F305" s="4">
        <v>270</v>
      </c>
      <c r="G305" s="4"/>
      <c r="H305" s="941">
        <v>80</v>
      </c>
      <c r="I305" s="4"/>
      <c r="J305" s="61">
        <f>K305*F305</f>
        <v>108</v>
      </c>
      <c r="K305" s="4">
        <f aca="true" t="shared" si="36" ref="K305:K329">H305/E305</f>
        <v>0.4</v>
      </c>
      <c r="L305" s="4"/>
      <c r="M305" s="95"/>
    </row>
    <row r="306" spans="1:13" ht="12.75">
      <c r="A306" s="939" t="s">
        <v>746</v>
      </c>
      <c r="B306" s="939"/>
      <c r="C306" s="939"/>
      <c r="E306" s="4">
        <v>200</v>
      </c>
      <c r="F306" s="942">
        <v>1382</v>
      </c>
      <c r="G306" s="942"/>
      <c r="H306" s="941">
        <v>72</v>
      </c>
      <c r="I306" s="4"/>
      <c r="J306" s="61">
        <f aca="true" t="shared" si="37" ref="J306:J329">K306*F306</f>
        <v>497.52</v>
      </c>
      <c r="K306" s="4">
        <f t="shared" si="36"/>
        <v>0.36</v>
      </c>
      <c r="L306" s="4"/>
      <c r="M306" s="95"/>
    </row>
    <row r="307" spans="1:13" ht="12.75">
      <c r="A307" s="939" t="s">
        <v>749</v>
      </c>
      <c r="B307" s="939"/>
      <c r="C307" s="939"/>
      <c r="E307" s="4">
        <v>200</v>
      </c>
      <c r="F307" s="943">
        <v>1285</v>
      </c>
      <c r="G307" s="943"/>
      <c r="H307" s="941">
        <v>72</v>
      </c>
      <c r="I307" s="4"/>
      <c r="J307" s="61">
        <f t="shared" si="37"/>
        <v>462.59999999999997</v>
      </c>
      <c r="K307" s="4">
        <f t="shared" si="36"/>
        <v>0.36</v>
      </c>
      <c r="L307" s="4"/>
      <c r="M307" s="95"/>
    </row>
    <row r="308" spans="1:13" ht="12.75">
      <c r="A308" s="939" t="s">
        <v>748</v>
      </c>
      <c r="B308" s="939"/>
      <c r="C308" s="939"/>
      <c r="E308" s="4">
        <v>200</v>
      </c>
      <c r="F308" s="943">
        <v>944</v>
      </c>
      <c r="G308" s="943"/>
      <c r="H308" s="941">
        <v>72</v>
      </c>
      <c r="I308" s="4"/>
      <c r="J308" s="61">
        <f t="shared" si="37"/>
        <v>339.84</v>
      </c>
      <c r="K308" s="4">
        <f t="shared" si="36"/>
        <v>0.36</v>
      </c>
      <c r="L308" s="4"/>
      <c r="M308" s="95"/>
    </row>
    <row r="309" spans="1:13" ht="12.75">
      <c r="A309" s="939" t="s">
        <v>746</v>
      </c>
      <c r="B309" s="939"/>
      <c r="C309" s="939"/>
      <c r="E309" s="4">
        <v>250</v>
      </c>
      <c r="F309" s="943">
        <v>118</v>
      </c>
      <c r="G309" s="943"/>
      <c r="H309" s="941">
        <v>72</v>
      </c>
      <c r="I309" s="4"/>
      <c r="J309" s="61">
        <f t="shared" si="37"/>
        <v>33.983999999999995</v>
      </c>
      <c r="K309" s="4">
        <f t="shared" si="36"/>
        <v>0.288</v>
      </c>
      <c r="L309" s="4"/>
      <c r="M309" s="95"/>
    </row>
    <row r="310" spans="1:13" ht="12.75">
      <c r="A310" s="939" t="s">
        <v>749</v>
      </c>
      <c r="B310" s="939"/>
      <c r="C310" s="939"/>
      <c r="E310" s="4">
        <v>250</v>
      </c>
      <c r="F310" s="943">
        <v>122</v>
      </c>
      <c r="G310" s="943"/>
      <c r="H310" s="941">
        <v>72</v>
      </c>
      <c r="I310" s="4"/>
      <c r="J310" s="61">
        <f t="shared" si="37"/>
        <v>35.135999999999996</v>
      </c>
      <c r="K310" s="4">
        <f t="shared" si="36"/>
        <v>0.288</v>
      </c>
      <c r="L310" s="4"/>
      <c r="M310" s="95"/>
    </row>
    <row r="311" spans="1:13" ht="12.75">
      <c r="A311" s="939" t="s">
        <v>748</v>
      </c>
      <c r="B311" s="939"/>
      <c r="C311" s="939"/>
      <c r="E311" s="4">
        <v>250</v>
      </c>
      <c r="F311" s="943">
        <v>30</v>
      </c>
      <c r="G311" s="943"/>
      <c r="H311" s="941">
        <v>72</v>
      </c>
      <c r="I311" s="4"/>
      <c r="J311" s="61">
        <f t="shared" si="37"/>
        <v>8.639999999999999</v>
      </c>
      <c r="K311" s="4">
        <f t="shared" si="36"/>
        <v>0.288</v>
      </c>
      <c r="L311" s="4"/>
      <c r="M311" s="95"/>
    </row>
    <row r="312" spans="1:13" ht="12.75">
      <c r="A312" s="939" t="s">
        <v>746</v>
      </c>
      <c r="B312" s="939"/>
      <c r="C312" s="939"/>
      <c r="E312" s="4">
        <v>50</v>
      </c>
      <c r="F312" s="943">
        <v>47</v>
      </c>
      <c r="G312" s="943"/>
      <c r="H312" s="941">
        <v>19</v>
      </c>
      <c r="I312" s="4"/>
      <c r="J312" s="61">
        <f t="shared" si="37"/>
        <v>17.86</v>
      </c>
      <c r="K312" s="4">
        <f t="shared" si="36"/>
        <v>0.38</v>
      </c>
      <c r="L312" s="4"/>
      <c r="M312" s="95"/>
    </row>
    <row r="313" spans="1:13" ht="12.75">
      <c r="A313" s="939" t="s">
        <v>749</v>
      </c>
      <c r="B313" s="939"/>
      <c r="C313" s="939"/>
      <c r="E313" s="4">
        <v>50</v>
      </c>
      <c r="F313" s="943">
        <v>54</v>
      </c>
      <c r="G313" s="943"/>
      <c r="H313" s="944">
        <v>19</v>
      </c>
      <c r="I313" s="191"/>
      <c r="J313" s="61">
        <f t="shared" si="37"/>
        <v>20.52</v>
      </c>
      <c r="K313" s="4">
        <f t="shared" si="36"/>
        <v>0.38</v>
      </c>
      <c r="L313" s="4"/>
      <c r="M313" s="95"/>
    </row>
    <row r="314" spans="1:13" ht="12.75">
      <c r="A314" s="939" t="s">
        <v>748</v>
      </c>
      <c r="B314" s="939"/>
      <c r="C314" s="939"/>
      <c r="E314" s="4">
        <v>50</v>
      </c>
      <c r="F314" s="943">
        <v>46</v>
      </c>
      <c r="G314" s="943"/>
      <c r="H314" s="944">
        <v>19</v>
      </c>
      <c r="I314" s="191"/>
      <c r="J314" s="61">
        <f t="shared" si="37"/>
        <v>17.48</v>
      </c>
      <c r="K314" s="4">
        <f t="shared" si="36"/>
        <v>0.38</v>
      </c>
      <c r="L314" s="4"/>
      <c r="M314" s="95"/>
    </row>
    <row r="315" spans="1:13" ht="12.75">
      <c r="A315" s="939" t="s">
        <v>750</v>
      </c>
      <c r="B315" s="939"/>
      <c r="C315" s="939"/>
      <c r="E315" s="4">
        <v>200</v>
      </c>
      <c r="F315" s="943">
        <v>5</v>
      </c>
      <c r="G315" s="943"/>
      <c r="H315" s="944">
        <v>75</v>
      </c>
      <c r="I315" s="191"/>
      <c r="J315" s="61">
        <f t="shared" si="37"/>
        <v>1.875</v>
      </c>
      <c r="K315" s="4">
        <f t="shared" si="36"/>
        <v>0.375</v>
      </c>
      <c r="L315" s="4"/>
      <c r="M315" s="95"/>
    </row>
    <row r="316" spans="1:13" ht="12.75">
      <c r="A316" s="939" t="s">
        <v>751</v>
      </c>
      <c r="B316" s="939"/>
      <c r="C316" s="939"/>
      <c r="E316" s="4">
        <v>200</v>
      </c>
      <c r="F316" s="943">
        <v>533</v>
      </c>
      <c r="G316" s="943"/>
      <c r="H316" s="944">
        <v>80</v>
      </c>
      <c r="I316" s="191"/>
      <c r="J316" s="61">
        <f t="shared" si="37"/>
        <v>213.20000000000002</v>
      </c>
      <c r="K316" s="4">
        <f t="shared" si="36"/>
        <v>0.4</v>
      </c>
      <c r="L316" s="4"/>
      <c r="M316" s="95"/>
    </row>
    <row r="317" spans="1:13" ht="12.75">
      <c r="A317" s="939" t="s">
        <v>752</v>
      </c>
      <c r="B317" s="939"/>
      <c r="C317" s="939"/>
      <c r="E317" s="4">
        <v>200</v>
      </c>
      <c r="F317" s="943">
        <v>1169</v>
      </c>
      <c r="G317" s="943"/>
      <c r="H317" s="944">
        <v>80</v>
      </c>
      <c r="I317" s="191"/>
      <c r="J317" s="61">
        <f t="shared" si="37"/>
        <v>467.6</v>
      </c>
      <c r="K317" s="4">
        <f t="shared" si="36"/>
        <v>0.4</v>
      </c>
      <c r="L317" s="4"/>
      <c r="M317" s="95"/>
    </row>
    <row r="318" spans="1:13" ht="12.75">
      <c r="A318" s="939" t="s">
        <v>753</v>
      </c>
      <c r="B318" s="939"/>
      <c r="C318" s="939"/>
      <c r="E318" s="4">
        <v>200</v>
      </c>
      <c r="F318" s="943">
        <v>109</v>
      </c>
      <c r="G318" s="943"/>
      <c r="H318" s="944">
        <v>80</v>
      </c>
      <c r="I318" s="191"/>
      <c r="J318" s="61">
        <f t="shared" si="37"/>
        <v>43.6</v>
      </c>
      <c r="K318" s="4">
        <f t="shared" si="36"/>
        <v>0.4</v>
      </c>
      <c r="L318" s="4"/>
      <c r="M318" s="95"/>
    </row>
    <row r="319" spans="1:13" ht="12.75">
      <c r="A319" s="939" t="s">
        <v>751</v>
      </c>
      <c r="B319" s="939"/>
      <c r="C319" s="939"/>
      <c r="E319" s="4">
        <v>50</v>
      </c>
      <c r="F319" s="943">
        <v>15</v>
      </c>
      <c r="G319" s="943"/>
      <c r="H319" s="941">
        <v>22</v>
      </c>
      <c r="I319" s="4"/>
      <c r="J319" s="61">
        <f t="shared" si="37"/>
        <v>6.6</v>
      </c>
      <c r="K319" s="4">
        <f t="shared" si="36"/>
        <v>0.44</v>
      </c>
      <c r="L319" s="4"/>
      <c r="M319" s="95"/>
    </row>
    <row r="320" spans="1:13" ht="12.75">
      <c r="A320" s="939" t="s">
        <v>754</v>
      </c>
      <c r="B320" s="939"/>
      <c r="C320" s="939"/>
      <c r="E320" s="4">
        <v>50</v>
      </c>
      <c r="F320" s="943">
        <v>15</v>
      </c>
      <c r="G320" s="943"/>
      <c r="H320" s="941">
        <v>22</v>
      </c>
      <c r="I320" s="4"/>
      <c r="J320" s="61">
        <f t="shared" si="37"/>
        <v>6.6</v>
      </c>
      <c r="K320" s="4">
        <f t="shared" si="36"/>
        <v>0.44</v>
      </c>
      <c r="L320" s="4"/>
      <c r="M320" s="95"/>
    </row>
    <row r="321" spans="1:13" ht="12.75">
      <c r="A321" s="939" t="s">
        <v>755</v>
      </c>
      <c r="B321" s="939"/>
      <c r="C321" s="939"/>
      <c r="E321" s="4">
        <v>200</v>
      </c>
      <c r="F321" s="943">
        <v>309</v>
      </c>
      <c r="G321" s="943"/>
      <c r="H321" s="941">
        <v>72</v>
      </c>
      <c r="I321" s="4"/>
      <c r="J321" s="61">
        <f t="shared" si="37"/>
        <v>111.24</v>
      </c>
      <c r="K321" s="4">
        <f t="shared" si="36"/>
        <v>0.36</v>
      </c>
      <c r="L321" s="4"/>
      <c r="M321" s="95"/>
    </row>
    <row r="322" spans="1:13" ht="12.75">
      <c r="A322" s="939" t="s">
        <v>756</v>
      </c>
      <c r="B322" s="939"/>
      <c r="C322" s="939"/>
      <c r="E322" s="4">
        <v>200</v>
      </c>
      <c r="F322" s="943">
        <v>398</v>
      </c>
      <c r="G322" s="943"/>
      <c r="H322" s="941">
        <v>72</v>
      </c>
      <c r="I322" s="4"/>
      <c r="J322" s="61">
        <f t="shared" si="37"/>
        <v>143.28</v>
      </c>
      <c r="K322" s="4">
        <f t="shared" si="36"/>
        <v>0.36</v>
      </c>
      <c r="L322" s="4"/>
      <c r="M322" s="95"/>
    </row>
    <row r="323" spans="1:13" ht="12.75">
      <c r="A323" s="939" t="s">
        <v>757</v>
      </c>
      <c r="B323" s="939"/>
      <c r="C323" s="939"/>
      <c r="E323" s="4">
        <v>50</v>
      </c>
      <c r="F323" s="943">
        <v>31</v>
      </c>
      <c r="G323" s="943"/>
      <c r="H323" s="941">
        <v>19</v>
      </c>
      <c r="I323" s="4"/>
      <c r="J323" s="61">
        <f t="shared" si="37"/>
        <v>11.78</v>
      </c>
      <c r="K323" s="4">
        <f t="shared" si="36"/>
        <v>0.38</v>
      </c>
      <c r="L323" s="4"/>
      <c r="M323" s="95"/>
    </row>
    <row r="324" spans="1:13" ht="12.75">
      <c r="A324" s="939" t="s">
        <v>756</v>
      </c>
      <c r="B324" s="939"/>
      <c r="C324" s="939"/>
      <c r="E324" s="4">
        <v>50</v>
      </c>
      <c r="F324" s="943">
        <v>38</v>
      </c>
      <c r="G324" s="943"/>
      <c r="H324" s="941">
        <v>19</v>
      </c>
      <c r="I324" s="4"/>
      <c r="J324" s="61">
        <f t="shared" si="37"/>
        <v>14.44</v>
      </c>
      <c r="K324" s="4">
        <f t="shared" si="36"/>
        <v>0.38</v>
      </c>
      <c r="L324" s="4"/>
      <c r="M324" s="95"/>
    </row>
    <row r="325" spans="1:13" ht="12.75">
      <c r="A325" s="939" t="s">
        <v>758</v>
      </c>
      <c r="B325" s="939"/>
      <c r="C325" s="939"/>
      <c r="E325" s="4">
        <v>200</v>
      </c>
      <c r="F325" s="943">
        <v>616</v>
      </c>
      <c r="G325" s="943"/>
      <c r="H325" s="941">
        <v>69</v>
      </c>
      <c r="I325" s="4"/>
      <c r="J325" s="61">
        <f t="shared" si="37"/>
        <v>212.51999999999998</v>
      </c>
      <c r="K325" s="4">
        <f t="shared" si="36"/>
        <v>0.345</v>
      </c>
      <c r="L325" s="4"/>
      <c r="M325" s="95"/>
    </row>
    <row r="326" spans="1:13" ht="12.75">
      <c r="A326" s="939" t="s">
        <v>759</v>
      </c>
      <c r="B326" s="939"/>
      <c r="C326" s="939"/>
      <c r="E326" s="4">
        <v>200</v>
      </c>
      <c r="F326" s="943">
        <v>441</v>
      </c>
      <c r="G326" s="943"/>
      <c r="H326" s="941">
        <v>69</v>
      </c>
      <c r="I326" s="4"/>
      <c r="J326" s="61">
        <f t="shared" si="37"/>
        <v>152.14499999999998</v>
      </c>
      <c r="K326" s="4">
        <f t="shared" si="36"/>
        <v>0.345</v>
      </c>
      <c r="L326" s="4"/>
      <c r="M326" s="95"/>
    </row>
    <row r="327" spans="1:13" ht="12.75">
      <c r="A327" s="939" t="s">
        <v>760</v>
      </c>
      <c r="B327" s="939"/>
      <c r="C327" s="939"/>
      <c r="E327" s="4">
        <v>200</v>
      </c>
      <c r="F327" s="943">
        <v>207</v>
      </c>
      <c r="G327" s="943"/>
      <c r="H327" s="941">
        <v>69</v>
      </c>
      <c r="I327" s="4"/>
      <c r="J327" s="61">
        <f t="shared" si="37"/>
        <v>71.41499999999999</v>
      </c>
      <c r="K327" s="4">
        <f t="shared" si="36"/>
        <v>0.345</v>
      </c>
      <c r="L327" s="4"/>
      <c r="M327" s="95"/>
    </row>
    <row r="328" spans="1:13" ht="12.75">
      <c r="A328" s="939" t="s">
        <v>761</v>
      </c>
      <c r="B328" s="939"/>
      <c r="C328" s="939"/>
      <c r="E328" s="4">
        <v>200</v>
      </c>
      <c r="F328" s="943">
        <v>134</v>
      </c>
      <c r="G328" s="943"/>
      <c r="H328" s="941">
        <v>85</v>
      </c>
      <c r="I328" s="4"/>
      <c r="J328" s="61">
        <f t="shared" si="37"/>
        <v>56.949999999999996</v>
      </c>
      <c r="K328" s="4">
        <f t="shared" si="36"/>
        <v>0.425</v>
      </c>
      <c r="L328" s="4"/>
      <c r="M328" s="95"/>
    </row>
    <row r="329" spans="1:13" ht="12.75">
      <c r="A329" s="939" t="s">
        <v>762</v>
      </c>
      <c r="B329" s="939"/>
      <c r="C329" s="939"/>
      <c r="E329" s="4">
        <v>200</v>
      </c>
      <c r="F329" s="943">
        <v>349</v>
      </c>
      <c r="G329" s="943"/>
      <c r="H329" s="941">
        <v>85</v>
      </c>
      <c r="I329" s="4"/>
      <c r="J329" s="61">
        <f t="shared" si="37"/>
        <v>148.325</v>
      </c>
      <c r="K329" s="4">
        <f t="shared" si="36"/>
        <v>0.425</v>
      </c>
      <c r="L329" s="4"/>
      <c r="M329" s="95"/>
    </row>
    <row r="330" spans="1:13" ht="12.75">
      <c r="A330" s="769" t="s">
        <v>273</v>
      </c>
      <c r="B330" s="649"/>
      <c r="C330" s="649"/>
      <c r="D330" s="1192"/>
      <c r="E330" s="1193"/>
      <c r="F330" s="1194">
        <f>SUM(F305:F329)</f>
        <v>8667</v>
      </c>
      <c r="G330" s="1194"/>
      <c r="H330" s="1195"/>
      <c r="I330" s="1193"/>
      <c r="J330" s="1194">
        <f>SUM(J305:J329)</f>
        <v>3203.149999999999</v>
      </c>
      <c r="K330" s="1196">
        <f>J330/F330</f>
        <v>0.3695800161532248</v>
      </c>
      <c r="L330" s="4"/>
      <c r="M330" s="95"/>
    </row>
    <row r="331" spans="1:13" ht="15.75">
      <c r="A331" s="391"/>
      <c r="B331" s="54"/>
      <c r="C331" s="54"/>
      <c r="D331" s="1102"/>
      <c r="E331" s="166"/>
      <c r="F331" s="1100"/>
      <c r="G331" s="58"/>
      <c r="H331" s="1100"/>
      <c r="I331" s="58"/>
      <c r="J331" s="58"/>
      <c r="K331" s="58"/>
      <c r="L331" s="4"/>
      <c r="M331" s="95"/>
    </row>
    <row r="332" spans="1:13" ht="12.75">
      <c r="A332" s="1102" t="s">
        <v>865</v>
      </c>
      <c r="B332" s="543"/>
      <c r="C332" s="543"/>
      <c r="D332" s="641"/>
      <c r="E332" s="737"/>
      <c r="F332" s="1101"/>
      <c r="G332" s="737"/>
      <c r="H332" s="737"/>
      <c r="I332" s="737"/>
      <c r="J332" s="737"/>
      <c r="K332" s="737"/>
      <c r="L332" s="4"/>
      <c r="M332" s="95"/>
    </row>
    <row r="333" spans="1:13" ht="12.75">
      <c r="A333" s="26" t="s">
        <v>763</v>
      </c>
      <c r="B333" s="26"/>
      <c r="C333" s="26"/>
      <c r="D333" s="26"/>
      <c r="E333" s="26">
        <v>200</v>
      </c>
      <c r="F333" s="943">
        <v>7197</v>
      </c>
      <c r="G333" s="4"/>
      <c r="H333" s="946">
        <v>124.6</v>
      </c>
      <c r="I333" s="4"/>
      <c r="J333" s="61">
        <f>K333*F333</f>
        <v>4483.731</v>
      </c>
      <c r="K333" s="32">
        <f>H333/E333</f>
        <v>0.623</v>
      </c>
      <c r="L333" s="4"/>
      <c r="M333" s="95"/>
    </row>
    <row r="334" spans="1:13" ht="12.75">
      <c r="A334" s="26" t="s">
        <v>763</v>
      </c>
      <c r="B334" s="26"/>
      <c r="C334" s="26"/>
      <c r="D334" s="26"/>
      <c r="E334" s="26">
        <v>200</v>
      </c>
      <c r="F334" s="943">
        <v>14</v>
      </c>
      <c r="G334" s="4"/>
      <c r="H334" s="946">
        <v>122.1</v>
      </c>
      <c r="I334" s="4"/>
      <c r="J334" s="61">
        <f>K334*F334</f>
        <v>8.546999999999999</v>
      </c>
      <c r="K334" s="32">
        <f>H334/E334</f>
        <v>0.6104999999999999</v>
      </c>
      <c r="L334" s="4"/>
      <c r="M334" s="95"/>
    </row>
    <row r="335" spans="1:13" ht="12.75">
      <c r="A335" s="26" t="s">
        <v>764</v>
      </c>
      <c r="B335" s="26"/>
      <c r="C335" s="26"/>
      <c r="D335" s="26"/>
      <c r="E335" s="58">
        <v>200</v>
      </c>
      <c r="F335" s="943">
        <v>1445.8</v>
      </c>
      <c r="G335" s="4"/>
      <c r="H335" s="946">
        <v>124.6</v>
      </c>
      <c r="I335" s="4"/>
      <c r="J335" s="61">
        <f>K335*F335</f>
        <v>900.7334</v>
      </c>
      <c r="K335" s="32">
        <f>H335/E335</f>
        <v>0.623</v>
      </c>
      <c r="L335" s="4"/>
      <c r="M335" s="95"/>
    </row>
    <row r="336" spans="1:13" ht="12.75">
      <c r="A336" s="26" t="s">
        <v>764</v>
      </c>
      <c r="B336" s="26"/>
      <c r="C336" s="26"/>
      <c r="D336" s="26"/>
      <c r="E336" s="58">
        <v>200</v>
      </c>
      <c r="F336" s="943">
        <v>45</v>
      </c>
      <c r="G336" s="4"/>
      <c r="H336" s="946">
        <v>122.1</v>
      </c>
      <c r="I336" s="4"/>
      <c r="J336" s="61">
        <f>K336*F336</f>
        <v>27.472499999999997</v>
      </c>
      <c r="K336" s="32">
        <f>H336/E336</f>
        <v>0.6104999999999999</v>
      </c>
      <c r="L336" s="4"/>
      <c r="M336" s="95"/>
    </row>
    <row r="337" spans="1:13" ht="12.75">
      <c r="A337" s="26" t="s">
        <v>765</v>
      </c>
      <c r="B337" s="26"/>
      <c r="C337" s="26"/>
      <c r="D337" s="26"/>
      <c r="E337" s="58">
        <v>200</v>
      </c>
      <c r="F337" s="943">
        <v>1421.8</v>
      </c>
      <c r="G337" s="4"/>
      <c r="H337" s="946">
        <v>124.6</v>
      </c>
      <c r="I337" s="4"/>
      <c r="J337" s="61">
        <f aca="true" t="shared" si="38" ref="J337:J346">K337*F337</f>
        <v>885.7814</v>
      </c>
      <c r="K337" s="32">
        <f aca="true" t="shared" si="39" ref="K337:K346">H337/E337</f>
        <v>0.623</v>
      </c>
      <c r="L337" s="4"/>
      <c r="M337" s="95"/>
    </row>
    <row r="338" spans="1:13" ht="12.75">
      <c r="A338" s="26" t="s">
        <v>766</v>
      </c>
      <c r="B338" s="26"/>
      <c r="C338" s="26"/>
      <c r="D338" s="26"/>
      <c r="E338" s="58">
        <v>200</v>
      </c>
      <c r="F338" s="943">
        <v>396.4</v>
      </c>
      <c r="G338" s="4"/>
      <c r="H338" s="946">
        <v>125.3</v>
      </c>
      <c r="I338" s="4"/>
      <c r="J338" s="61">
        <f t="shared" si="38"/>
        <v>248.34459999999996</v>
      </c>
      <c r="K338" s="32">
        <f t="shared" si="39"/>
        <v>0.6265</v>
      </c>
      <c r="L338" s="4"/>
      <c r="M338" s="95"/>
    </row>
    <row r="339" spans="1:13" ht="12.75">
      <c r="A339" s="26" t="s">
        <v>767</v>
      </c>
      <c r="B339" s="26"/>
      <c r="C339" s="26"/>
      <c r="D339" s="26"/>
      <c r="E339" s="58">
        <v>200</v>
      </c>
      <c r="F339" s="943">
        <v>211.6</v>
      </c>
      <c r="G339" s="4"/>
      <c r="H339" s="946">
        <v>125.3</v>
      </c>
      <c r="I339" s="4"/>
      <c r="J339" s="61">
        <f t="shared" si="38"/>
        <v>132.5674</v>
      </c>
      <c r="K339" s="32">
        <f t="shared" si="39"/>
        <v>0.6265</v>
      </c>
      <c r="L339" s="4"/>
      <c r="M339" s="95"/>
    </row>
    <row r="340" spans="1:13" ht="12.75">
      <c r="A340" s="26" t="s">
        <v>768</v>
      </c>
      <c r="B340" s="26"/>
      <c r="C340" s="26"/>
      <c r="D340" s="26"/>
      <c r="E340" s="58">
        <v>200</v>
      </c>
      <c r="F340" s="943">
        <v>40</v>
      </c>
      <c r="G340" s="4"/>
      <c r="H340" s="946">
        <v>125.3</v>
      </c>
      <c r="I340" s="4"/>
      <c r="J340" s="61">
        <f t="shared" si="38"/>
        <v>25.06</v>
      </c>
      <c r="K340" s="32">
        <f t="shared" si="39"/>
        <v>0.6265</v>
      </c>
      <c r="L340" s="4"/>
      <c r="M340" s="95"/>
    </row>
    <row r="341" spans="1:13" ht="12.75">
      <c r="A341" s="26" t="s">
        <v>769</v>
      </c>
      <c r="B341" s="26"/>
      <c r="C341" s="26"/>
      <c r="D341" s="26"/>
      <c r="E341" s="58">
        <v>200</v>
      </c>
      <c r="F341" s="943">
        <v>1722</v>
      </c>
      <c r="G341" s="4"/>
      <c r="H341" s="946">
        <v>125.3</v>
      </c>
      <c r="I341" s="4"/>
      <c r="J341" s="61">
        <f t="shared" si="38"/>
        <v>1078.8329999999999</v>
      </c>
      <c r="K341" s="32">
        <f t="shared" si="39"/>
        <v>0.6265</v>
      </c>
      <c r="L341" s="4"/>
      <c r="M341" s="95"/>
    </row>
    <row r="342" spans="1:13" ht="12.75">
      <c r="A342" s="26" t="s">
        <v>770</v>
      </c>
      <c r="B342" s="26"/>
      <c r="C342" s="26"/>
      <c r="D342" s="26"/>
      <c r="E342" s="58">
        <v>200</v>
      </c>
      <c r="F342" s="943">
        <v>3330</v>
      </c>
      <c r="G342" s="4"/>
      <c r="H342" s="946">
        <v>125.3</v>
      </c>
      <c r="I342" s="4"/>
      <c r="J342" s="61">
        <f t="shared" si="38"/>
        <v>2086.245</v>
      </c>
      <c r="K342" s="32">
        <f t="shared" si="39"/>
        <v>0.6265</v>
      </c>
      <c r="L342" s="4"/>
      <c r="M342" s="95"/>
    </row>
    <row r="343" spans="1:13" ht="12.75">
      <c r="A343" s="26" t="s">
        <v>771</v>
      </c>
      <c r="B343" s="26"/>
      <c r="C343" s="26"/>
      <c r="D343" s="26"/>
      <c r="E343" s="58">
        <v>200</v>
      </c>
      <c r="F343" s="943">
        <v>238</v>
      </c>
      <c r="G343" s="4"/>
      <c r="H343" s="946">
        <v>127.4</v>
      </c>
      <c r="I343" s="4"/>
      <c r="J343" s="61">
        <f t="shared" si="38"/>
        <v>151.606</v>
      </c>
      <c r="K343" s="32">
        <f t="shared" si="39"/>
        <v>0.637</v>
      </c>
      <c r="L343" s="4"/>
      <c r="M343" s="95"/>
    </row>
    <row r="344" spans="1:13" ht="12.75">
      <c r="A344" s="26" t="s">
        <v>772</v>
      </c>
      <c r="B344" s="26"/>
      <c r="C344" s="26"/>
      <c r="D344" s="26"/>
      <c r="E344" s="58">
        <v>200</v>
      </c>
      <c r="F344" s="943">
        <v>250</v>
      </c>
      <c r="G344" s="4"/>
      <c r="H344" s="946">
        <v>127.4</v>
      </c>
      <c r="I344" s="4"/>
      <c r="J344" s="61">
        <f t="shared" si="38"/>
        <v>159.25</v>
      </c>
      <c r="K344" s="32">
        <f t="shared" si="39"/>
        <v>0.637</v>
      </c>
      <c r="L344" s="4"/>
      <c r="M344" s="95"/>
    </row>
    <row r="345" spans="1:13" ht="12.75">
      <c r="A345" s="26" t="s">
        <v>773</v>
      </c>
      <c r="B345" s="26"/>
      <c r="C345" s="26"/>
      <c r="D345" s="26"/>
      <c r="E345" s="58">
        <v>200</v>
      </c>
      <c r="F345" s="943">
        <v>70</v>
      </c>
      <c r="G345" s="4"/>
      <c r="H345" s="946">
        <v>127.4</v>
      </c>
      <c r="I345" s="4"/>
      <c r="J345" s="61">
        <f t="shared" si="38"/>
        <v>44.59</v>
      </c>
      <c r="K345" s="32">
        <f t="shared" si="39"/>
        <v>0.637</v>
      </c>
      <c r="L345" s="4"/>
      <c r="M345" s="95"/>
    </row>
    <row r="346" spans="1:13" ht="12.75">
      <c r="A346" s="26" t="s">
        <v>774</v>
      </c>
      <c r="B346" s="26"/>
      <c r="C346" s="26"/>
      <c r="D346" s="26"/>
      <c r="E346" s="58">
        <v>200</v>
      </c>
      <c r="F346" s="943">
        <v>130</v>
      </c>
      <c r="G346" s="4"/>
      <c r="H346" s="946">
        <v>127.4</v>
      </c>
      <c r="I346" s="4"/>
      <c r="J346" s="61">
        <f t="shared" si="38"/>
        <v>82.81</v>
      </c>
      <c r="K346" s="32">
        <f t="shared" si="39"/>
        <v>0.637</v>
      </c>
      <c r="L346" s="4"/>
      <c r="M346" s="95"/>
    </row>
    <row r="347" spans="1:13" ht="12.75">
      <c r="A347" s="26" t="s">
        <v>775</v>
      </c>
      <c r="B347" s="26"/>
      <c r="C347" s="26"/>
      <c r="D347" s="26"/>
      <c r="E347" s="58">
        <v>200</v>
      </c>
      <c r="F347" s="943">
        <v>5458</v>
      </c>
      <c r="G347" s="4"/>
      <c r="H347" s="946">
        <v>113.4</v>
      </c>
      <c r="I347" s="4"/>
      <c r="J347" s="61">
        <f aca="true" t="shared" si="40" ref="J347:J365">K347*F347</f>
        <v>3094.686</v>
      </c>
      <c r="K347" s="32">
        <f aca="true" t="shared" si="41" ref="K347:K365">H347/E347</f>
        <v>0.5670000000000001</v>
      </c>
      <c r="L347" s="4"/>
      <c r="M347" s="95"/>
    </row>
    <row r="348" spans="1:13" ht="12.75">
      <c r="A348" s="26" t="s">
        <v>776</v>
      </c>
      <c r="B348" s="26"/>
      <c r="C348" s="26"/>
      <c r="D348" s="26"/>
      <c r="E348" s="58">
        <v>200</v>
      </c>
      <c r="F348" s="943">
        <v>3573</v>
      </c>
      <c r="G348" s="4"/>
      <c r="H348" s="946">
        <v>113.4</v>
      </c>
      <c r="I348" s="4"/>
      <c r="J348" s="61">
        <f t="shared" si="40"/>
        <v>2025.8910000000003</v>
      </c>
      <c r="K348" s="32">
        <f t="shared" si="41"/>
        <v>0.5670000000000001</v>
      </c>
      <c r="L348" s="4"/>
      <c r="M348" s="95"/>
    </row>
    <row r="349" spans="1:13" ht="12.75">
      <c r="A349" s="26" t="s">
        <v>777</v>
      </c>
      <c r="B349" s="26"/>
      <c r="C349" s="26"/>
      <c r="D349" s="26"/>
      <c r="E349" s="58">
        <v>200</v>
      </c>
      <c r="F349" s="943">
        <v>2746.8</v>
      </c>
      <c r="G349" s="4"/>
      <c r="H349" s="946">
        <v>113.4</v>
      </c>
      <c r="I349" s="4"/>
      <c r="J349" s="61">
        <f t="shared" si="40"/>
        <v>1557.4356000000002</v>
      </c>
      <c r="K349" s="32">
        <f t="shared" si="41"/>
        <v>0.5670000000000001</v>
      </c>
      <c r="L349" s="4"/>
      <c r="M349" s="95"/>
    </row>
    <row r="350" spans="1:13" ht="12.75">
      <c r="A350" s="26" t="s">
        <v>904</v>
      </c>
      <c r="B350" s="26"/>
      <c r="C350" s="26"/>
      <c r="D350" s="26"/>
      <c r="E350" s="58">
        <v>200</v>
      </c>
      <c r="F350" s="943">
        <v>35.2</v>
      </c>
      <c r="G350" s="4"/>
      <c r="H350" s="946">
        <v>127.4</v>
      </c>
      <c r="I350" s="4"/>
      <c r="J350" s="61">
        <f t="shared" si="40"/>
        <v>22.422400000000003</v>
      </c>
      <c r="K350" s="32">
        <f t="shared" si="41"/>
        <v>0.637</v>
      </c>
      <c r="L350" s="4"/>
      <c r="M350" s="95"/>
    </row>
    <row r="351" spans="1:13" ht="12.75">
      <c r="A351" s="26" t="s">
        <v>778</v>
      </c>
      <c r="B351" s="26"/>
      <c r="C351" s="26"/>
      <c r="D351" s="26"/>
      <c r="E351" s="58">
        <v>200</v>
      </c>
      <c r="F351" s="943">
        <v>147</v>
      </c>
      <c r="G351" s="4"/>
      <c r="H351" s="946">
        <v>127.4</v>
      </c>
      <c r="I351" s="4"/>
      <c r="J351" s="61">
        <f t="shared" si="40"/>
        <v>93.639</v>
      </c>
      <c r="K351" s="32">
        <f t="shared" si="41"/>
        <v>0.637</v>
      </c>
      <c r="L351" s="4"/>
      <c r="M351" s="95"/>
    </row>
    <row r="352" spans="1:13" ht="12.75">
      <c r="A352" s="26" t="s">
        <v>779</v>
      </c>
      <c r="B352" s="26"/>
      <c r="C352" s="26"/>
      <c r="D352" s="26"/>
      <c r="E352" s="58">
        <v>200</v>
      </c>
      <c r="F352" s="943">
        <v>99.8</v>
      </c>
      <c r="G352" s="4"/>
      <c r="H352" s="946">
        <v>127.4</v>
      </c>
      <c r="I352" s="4"/>
      <c r="J352" s="61">
        <f t="shared" si="40"/>
        <v>63.5726</v>
      </c>
      <c r="K352" s="32">
        <f t="shared" si="41"/>
        <v>0.637</v>
      </c>
      <c r="L352" s="4"/>
      <c r="M352" s="95"/>
    </row>
    <row r="353" spans="1:13" ht="12.75">
      <c r="A353" s="26" t="s">
        <v>780</v>
      </c>
      <c r="B353" s="26"/>
      <c r="C353" s="26"/>
      <c r="D353" s="26"/>
      <c r="E353" s="58">
        <v>200</v>
      </c>
      <c r="F353" s="943">
        <v>48.6</v>
      </c>
      <c r="H353" s="946">
        <v>127.4</v>
      </c>
      <c r="I353" s="4"/>
      <c r="J353" s="61">
        <f t="shared" si="40"/>
        <v>30.9582</v>
      </c>
      <c r="K353" s="32">
        <f t="shared" si="41"/>
        <v>0.637</v>
      </c>
      <c r="L353" s="4"/>
      <c r="M353" s="95"/>
    </row>
    <row r="354" spans="1:13" ht="12.75">
      <c r="A354" s="26" t="s">
        <v>781</v>
      </c>
      <c r="B354" s="26"/>
      <c r="C354" s="26"/>
      <c r="D354" s="26"/>
      <c r="E354" s="58">
        <v>200</v>
      </c>
      <c r="F354" s="943">
        <v>4093.6</v>
      </c>
      <c r="H354" s="946">
        <v>112</v>
      </c>
      <c r="I354" s="4"/>
      <c r="J354" s="61">
        <f t="shared" si="40"/>
        <v>2292.416</v>
      </c>
      <c r="K354" s="32">
        <f t="shared" si="41"/>
        <v>0.56</v>
      </c>
      <c r="L354" s="4"/>
      <c r="M354" s="95"/>
    </row>
    <row r="355" spans="1:13" ht="12.75">
      <c r="A355" s="26" t="s">
        <v>782</v>
      </c>
      <c r="B355" s="26"/>
      <c r="C355" s="26"/>
      <c r="D355" s="26"/>
      <c r="E355" s="58">
        <v>200</v>
      </c>
      <c r="F355" s="943">
        <v>1719</v>
      </c>
      <c r="H355" s="946">
        <v>112</v>
      </c>
      <c r="I355" s="4"/>
      <c r="J355" s="61">
        <f t="shared" si="40"/>
        <v>962.6400000000001</v>
      </c>
      <c r="K355" s="32">
        <f t="shared" si="41"/>
        <v>0.56</v>
      </c>
      <c r="L355" s="4"/>
      <c r="M355" s="95"/>
    </row>
    <row r="356" spans="1:13" ht="12.75">
      <c r="A356" s="26" t="s">
        <v>783</v>
      </c>
      <c r="B356" s="26"/>
      <c r="C356" s="26"/>
      <c r="D356" s="26"/>
      <c r="E356" s="58">
        <v>200</v>
      </c>
      <c r="F356" s="943">
        <v>1782.4</v>
      </c>
      <c r="H356" s="946">
        <v>112</v>
      </c>
      <c r="I356" s="4"/>
      <c r="J356" s="61">
        <f t="shared" si="40"/>
        <v>998.1440000000001</v>
      </c>
      <c r="K356" s="32">
        <f t="shared" si="41"/>
        <v>0.56</v>
      </c>
      <c r="L356" s="4"/>
      <c r="M356" s="95"/>
    </row>
    <row r="357" spans="1:13" ht="12.75">
      <c r="A357" s="26" t="s">
        <v>784</v>
      </c>
      <c r="B357" s="26"/>
      <c r="C357" s="26"/>
      <c r="D357" s="26"/>
      <c r="E357" s="58">
        <v>200</v>
      </c>
      <c r="F357" s="943">
        <v>3007</v>
      </c>
      <c r="H357" s="946">
        <v>128.8</v>
      </c>
      <c r="I357" s="4"/>
      <c r="J357" s="61">
        <f t="shared" si="40"/>
        <v>1936.508</v>
      </c>
      <c r="K357" s="32">
        <f t="shared" si="41"/>
        <v>0.644</v>
      </c>
      <c r="L357" s="4"/>
      <c r="M357" s="95"/>
    </row>
    <row r="358" spans="1:13" ht="12.75">
      <c r="A358" s="26" t="s">
        <v>785</v>
      </c>
      <c r="B358" s="26"/>
      <c r="C358" s="26"/>
      <c r="D358" s="26"/>
      <c r="E358" s="58">
        <v>200</v>
      </c>
      <c r="F358" s="943">
        <v>78</v>
      </c>
      <c r="H358" s="946">
        <v>128.8</v>
      </c>
      <c r="I358" s="4"/>
      <c r="J358" s="61">
        <f t="shared" si="40"/>
        <v>50.232</v>
      </c>
      <c r="K358" s="32">
        <f t="shared" si="41"/>
        <v>0.644</v>
      </c>
      <c r="L358" s="4"/>
      <c r="M358" s="95"/>
    </row>
    <row r="359" spans="1:13" ht="12.75">
      <c r="A359" s="26" t="s">
        <v>905</v>
      </c>
      <c r="B359" s="26"/>
      <c r="C359" s="26"/>
      <c r="D359" s="26"/>
      <c r="E359" s="58">
        <v>200</v>
      </c>
      <c r="F359" s="943">
        <v>39.2</v>
      </c>
      <c r="H359" s="946">
        <v>128.8</v>
      </c>
      <c r="I359" s="4"/>
      <c r="J359" s="61">
        <f t="shared" si="40"/>
        <v>25.2448</v>
      </c>
      <c r="K359" s="32">
        <f t="shared" si="41"/>
        <v>0.644</v>
      </c>
      <c r="L359" s="4"/>
      <c r="M359" s="95"/>
    </row>
    <row r="360" spans="1:13" ht="12.75">
      <c r="A360" s="26" t="s">
        <v>786</v>
      </c>
      <c r="B360" s="26"/>
      <c r="C360" s="26"/>
      <c r="D360" s="26"/>
      <c r="E360" s="58">
        <v>200</v>
      </c>
      <c r="F360" s="943">
        <v>4038.6</v>
      </c>
      <c r="H360" s="946">
        <v>119.3</v>
      </c>
      <c r="I360" s="4"/>
      <c r="J360" s="61">
        <f t="shared" si="40"/>
        <v>2409.0249</v>
      </c>
      <c r="K360" s="32">
        <f t="shared" si="41"/>
        <v>0.5965</v>
      </c>
      <c r="L360" s="4"/>
      <c r="M360" s="95"/>
    </row>
    <row r="361" spans="1:13" ht="12.75">
      <c r="A361" s="26" t="s">
        <v>787</v>
      </c>
      <c r="B361" s="26"/>
      <c r="C361" s="26"/>
      <c r="D361" s="26"/>
      <c r="E361" s="58">
        <v>200</v>
      </c>
      <c r="F361" s="943">
        <v>4848.8</v>
      </c>
      <c r="H361" s="946">
        <v>119.3</v>
      </c>
      <c r="I361" s="4"/>
      <c r="J361" s="61">
        <f t="shared" si="40"/>
        <v>2892.3092</v>
      </c>
      <c r="K361" s="32">
        <f t="shared" si="41"/>
        <v>0.5965</v>
      </c>
      <c r="L361" s="4"/>
      <c r="M361" s="95"/>
    </row>
    <row r="362" spans="1:13" ht="12.75">
      <c r="A362" s="26" t="s">
        <v>788</v>
      </c>
      <c r="B362" s="26"/>
      <c r="C362" s="26"/>
      <c r="D362" s="26"/>
      <c r="E362" s="58">
        <v>200</v>
      </c>
      <c r="F362" s="943">
        <v>887.5</v>
      </c>
      <c r="H362" s="946">
        <v>119.3</v>
      </c>
      <c r="I362" s="4"/>
      <c r="J362" s="61">
        <f t="shared" si="40"/>
        <v>529.3937500000001</v>
      </c>
      <c r="K362" s="32">
        <f t="shared" si="41"/>
        <v>0.5965</v>
      </c>
      <c r="L362" s="4"/>
      <c r="M362" s="95"/>
    </row>
    <row r="363" spans="1:13" ht="12.75">
      <c r="A363" s="26" t="s">
        <v>789</v>
      </c>
      <c r="B363" s="26"/>
      <c r="C363" s="26"/>
      <c r="D363" s="26"/>
      <c r="E363" s="58">
        <v>200</v>
      </c>
      <c r="F363" s="943">
        <v>2272</v>
      </c>
      <c r="H363" s="946">
        <v>119.3</v>
      </c>
      <c r="I363" s="4"/>
      <c r="J363" s="61">
        <f t="shared" si="40"/>
        <v>1355.248</v>
      </c>
      <c r="K363" s="32">
        <f t="shared" si="41"/>
        <v>0.5965</v>
      </c>
      <c r="L363" s="4"/>
      <c r="M363" s="95"/>
    </row>
    <row r="364" spans="1:13" ht="12.75">
      <c r="A364" s="26" t="s">
        <v>790</v>
      </c>
      <c r="B364" s="26"/>
      <c r="C364" s="26"/>
      <c r="D364" s="26"/>
      <c r="E364" s="58">
        <v>200</v>
      </c>
      <c r="F364" s="943">
        <v>90</v>
      </c>
      <c r="H364" s="946">
        <v>151.2</v>
      </c>
      <c r="I364" s="4"/>
      <c r="J364" s="61">
        <f t="shared" si="40"/>
        <v>68.03999999999999</v>
      </c>
      <c r="K364" s="32">
        <f t="shared" si="41"/>
        <v>0.7559999999999999</v>
      </c>
      <c r="L364" s="4"/>
      <c r="M364" s="95"/>
    </row>
    <row r="365" spans="1:13" ht="12.75">
      <c r="A365" s="4" t="s">
        <v>791</v>
      </c>
      <c r="B365" s="4"/>
      <c r="C365" s="4"/>
      <c r="D365" s="26"/>
      <c r="E365" s="58">
        <v>200</v>
      </c>
      <c r="F365" s="943">
        <v>130</v>
      </c>
      <c r="H365" s="946">
        <v>151.2</v>
      </c>
      <c r="I365" s="4"/>
      <c r="J365" s="61">
        <f t="shared" si="40"/>
        <v>98.27999999999999</v>
      </c>
      <c r="K365" s="32">
        <f t="shared" si="41"/>
        <v>0.7559999999999999</v>
      </c>
      <c r="L365" s="4"/>
      <c r="M365" s="95"/>
    </row>
    <row r="366" spans="1:11" ht="12.75">
      <c r="A366" s="1197" t="s">
        <v>110</v>
      </c>
      <c r="B366" s="1193"/>
      <c r="C366" s="1193"/>
      <c r="D366" s="1193"/>
      <c r="E366" s="649"/>
      <c r="F366" s="1198">
        <f>SUM(F333:F365)</f>
        <v>51606.09999999999</v>
      </c>
      <c r="G366" s="649"/>
      <c r="H366" s="1199"/>
      <c r="I366" s="45"/>
      <c r="J366" s="1198">
        <f>SUM(J333:J365)</f>
        <v>30821.65675</v>
      </c>
      <c r="K366" s="1200">
        <f>J366/F366</f>
        <v>0.5972483243260003</v>
      </c>
    </row>
    <row r="367" spans="1:11" ht="12.75">
      <c r="A367" s="600"/>
      <c r="B367" s="26"/>
      <c r="C367" s="26"/>
      <c r="D367" s="26"/>
      <c r="E367" s="54"/>
      <c r="F367" s="1189"/>
      <c r="G367" s="54"/>
      <c r="H367" s="1183"/>
      <c r="I367" s="36"/>
      <c r="J367" s="1189"/>
      <c r="K367" s="659"/>
    </row>
    <row r="368" spans="1:13" ht="12.75">
      <c r="A368" s="600" t="s">
        <v>887</v>
      </c>
      <c r="B368" s="26"/>
      <c r="C368" s="26"/>
      <c r="D368" s="26"/>
      <c r="E368" s="62"/>
      <c r="F368" s="1202"/>
      <c r="G368" s="62"/>
      <c r="H368" s="1203"/>
      <c r="I368" s="1204"/>
      <c r="J368" s="1202"/>
      <c r="K368" s="1205"/>
      <c r="L368" s="62" t="s">
        <v>900</v>
      </c>
      <c r="M368" s="62"/>
    </row>
    <row r="369" spans="2:13" ht="12.75">
      <c r="B369" s="26"/>
      <c r="C369" s="26"/>
      <c r="D369" s="26"/>
      <c r="E369" s="1206" t="s">
        <v>893</v>
      </c>
      <c r="F369" s="1204" t="s">
        <v>894</v>
      </c>
      <c r="G369" s="62"/>
      <c r="H369" s="1203" t="s">
        <v>892</v>
      </c>
      <c r="I369" s="1204"/>
      <c r="J369" s="1206" t="s">
        <v>895</v>
      </c>
      <c r="K369" s="1207" t="s">
        <v>680</v>
      </c>
      <c r="L369" s="62" t="s">
        <v>889</v>
      </c>
      <c r="M369" s="62" t="s">
        <v>890</v>
      </c>
    </row>
    <row r="370" spans="1:13" ht="12.75">
      <c r="A370" s="26" t="s">
        <v>886</v>
      </c>
      <c r="B370" s="26"/>
      <c r="C370" s="26"/>
      <c r="D370" s="26"/>
      <c r="E370" s="1182">
        <v>200</v>
      </c>
      <c r="F370" s="297">
        <v>2936.6</v>
      </c>
      <c r="H370" s="1183">
        <f>AVERAGE(L370,M370)</f>
        <v>73.95</v>
      </c>
      <c r="I370" s="36"/>
      <c r="J370" s="1182">
        <f aca="true" t="shared" si="42" ref="J370:J377">F370*K370</f>
        <v>1085.8078500000001</v>
      </c>
      <c r="K370" s="115">
        <f>H370/200</f>
        <v>0.36975</v>
      </c>
      <c r="L370" s="492">
        <v>69.9</v>
      </c>
      <c r="M370" s="1201">
        <v>78</v>
      </c>
    </row>
    <row r="371" spans="1:13" ht="12.75">
      <c r="A371" s="26" t="s">
        <v>880</v>
      </c>
      <c r="B371" s="26"/>
      <c r="C371" s="26"/>
      <c r="D371" s="26"/>
      <c r="E371" s="1182">
        <v>200</v>
      </c>
      <c r="F371" s="297">
        <v>4819.8</v>
      </c>
      <c r="H371" s="1183">
        <f aca="true" t="shared" si="43" ref="H371:H377">AVERAGE(L371,M371)</f>
        <v>73.95</v>
      </c>
      <c r="I371" s="36"/>
      <c r="J371" s="1182">
        <f t="shared" si="42"/>
        <v>1782.1210500000002</v>
      </c>
      <c r="K371" s="115">
        <f aca="true" t="shared" si="44" ref="K371:K377">H371/200</f>
        <v>0.36975</v>
      </c>
      <c r="L371" s="492">
        <v>69.9</v>
      </c>
      <c r="M371" s="1201">
        <v>78</v>
      </c>
    </row>
    <row r="372" spans="1:13" ht="12.75">
      <c r="A372" s="58" t="s">
        <v>888</v>
      </c>
      <c r="B372" s="26"/>
      <c r="C372" s="26"/>
      <c r="D372" s="26"/>
      <c r="E372" s="1182">
        <v>200</v>
      </c>
      <c r="F372" s="297">
        <v>613</v>
      </c>
      <c r="H372" s="1183">
        <f t="shared" si="43"/>
        <v>73.95</v>
      </c>
      <c r="I372" s="36"/>
      <c r="J372" s="1182">
        <f t="shared" si="42"/>
        <v>226.65675000000002</v>
      </c>
      <c r="K372" s="115">
        <f t="shared" si="44"/>
        <v>0.36975</v>
      </c>
      <c r="L372" s="492">
        <v>69.9</v>
      </c>
      <c r="M372" s="1201">
        <v>78</v>
      </c>
    </row>
    <row r="373" spans="1:13" ht="12.75">
      <c r="A373" s="26" t="s">
        <v>881</v>
      </c>
      <c r="B373" s="544"/>
      <c r="C373" s="544"/>
      <c r="D373" s="544"/>
      <c r="E373" s="1182">
        <v>200</v>
      </c>
      <c r="F373" s="297">
        <v>676.8</v>
      </c>
      <c r="H373" s="1183">
        <f t="shared" si="43"/>
        <v>63.45</v>
      </c>
      <c r="I373" s="36"/>
      <c r="J373" s="1182">
        <f t="shared" si="42"/>
        <v>214.7148</v>
      </c>
      <c r="K373" s="115">
        <f t="shared" si="44"/>
        <v>0.31725000000000003</v>
      </c>
      <c r="L373" s="492">
        <v>59.9</v>
      </c>
      <c r="M373" s="1201">
        <v>67</v>
      </c>
    </row>
    <row r="374" spans="1:13" ht="12.75">
      <c r="A374" s="26" t="s">
        <v>882</v>
      </c>
      <c r="B374" s="26"/>
      <c r="C374" s="26"/>
      <c r="D374" s="26"/>
      <c r="E374" s="1182">
        <v>200</v>
      </c>
      <c r="F374" s="297">
        <v>1358</v>
      </c>
      <c r="H374" s="1183">
        <f t="shared" si="43"/>
        <v>63.45</v>
      </c>
      <c r="I374" s="36"/>
      <c r="J374" s="1182">
        <f t="shared" si="42"/>
        <v>430.82550000000003</v>
      </c>
      <c r="K374" s="115">
        <f t="shared" si="44"/>
        <v>0.31725000000000003</v>
      </c>
      <c r="L374" s="492">
        <v>59.9</v>
      </c>
      <c r="M374" s="1201">
        <v>67</v>
      </c>
    </row>
    <row r="375" spans="1:13" ht="12.75">
      <c r="A375" s="26" t="s">
        <v>883</v>
      </c>
      <c r="B375" s="26"/>
      <c r="C375" s="26"/>
      <c r="D375" s="26"/>
      <c r="E375" s="1182">
        <v>200</v>
      </c>
      <c r="F375" s="297">
        <v>839.8</v>
      </c>
      <c r="H375" s="1183">
        <f t="shared" si="43"/>
        <v>63.45</v>
      </c>
      <c r="I375" s="36"/>
      <c r="J375" s="1182">
        <f t="shared" si="42"/>
        <v>266.42655</v>
      </c>
      <c r="K375" s="115">
        <f t="shared" si="44"/>
        <v>0.31725000000000003</v>
      </c>
      <c r="L375" s="492">
        <v>59.9</v>
      </c>
      <c r="M375" s="1201">
        <v>67</v>
      </c>
    </row>
    <row r="376" spans="1:13" ht="12.75">
      <c r="A376" s="26" t="s">
        <v>884</v>
      </c>
      <c r="B376" s="26"/>
      <c r="C376" s="26"/>
      <c r="D376" s="26"/>
      <c r="E376" s="1182">
        <v>200</v>
      </c>
      <c r="F376" s="297">
        <v>586.2</v>
      </c>
      <c r="H376" s="1183">
        <f t="shared" si="43"/>
        <v>63.45</v>
      </c>
      <c r="I376" s="36"/>
      <c r="J376" s="1182">
        <f t="shared" si="42"/>
        <v>185.97195000000002</v>
      </c>
      <c r="K376" s="115">
        <f t="shared" si="44"/>
        <v>0.31725000000000003</v>
      </c>
      <c r="L376" s="492">
        <v>59.9</v>
      </c>
      <c r="M376" s="1201">
        <v>67</v>
      </c>
    </row>
    <row r="377" spans="1:13" ht="12.75">
      <c r="A377" s="26" t="s">
        <v>885</v>
      </c>
      <c r="B377" s="26"/>
      <c r="C377" s="26"/>
      <c r="D377" s="26"/>
      <c r="E377" s="1182">
        <v>200</v>
      </c>
      <c r="F377" s="215">
        <v>1589.4</v>
      </c>
      <c r="H377" s="1183">
        <f t="shared" si="43"/>
        <v>18.5</v>
      </c>
      <c r="I377" s="36"/>
      <c r="J377" s="1182">
        <f t="shared" si="42"/>
        <v>147.0195</v>
      </c>
      <c r="K377" s="115">
        <f t="shared" si="44"/>
        <v>0.0925</v>
      </c>
      <c r="L377" s="492">
        <v>18</v>
      </c>
      <c r="M377" s="1201">
        <v>19</v>
      </c>
    </row>
    <row r="378" spans="1:13" ht="12.75">
      <c r="A378" s="600" t="s">
        <v>891</v>
      </c>
      <c r="B378" s="26"/>
      <c r="C378" s="26"/>
      <c r="D378" s="26"/>
      <c r="E378" s="26"/>
      <c r="F378" s="31">
        <f>SUM(F370:F377)</f>
        <v>13419.599999999999</v>
      </c>
      <c r="H378" s="1183"/>
      <c r="I378" s="36"/>
      <c r="J378" s="31">
        <f>SUM(J370:J377)</f>
        <v>4339.543950000001</v>
      </c>
      <c r="K378" s="659">
        <f>AVERAGE(K370:K377)</f>
        <v>0.30884375</v>
      </c>
      <c r="M378" s="95"/>
    </row>
    <row r="379" spans="1:13" ht="12.75">
      <c r="A379" s="762" t="s">
        <v>873</v>
      </c>
      <c r="B379" s="1"/>
      <c r="C379" s="1"/>
      <c r="D379" s="940"/>
      <c r="E379" s="1"/>
      <c r="F379" s="1186"/>
      <c r="G379" s="973"/>
      <c r="H379" s="1187"/>
      <c r="I379" s="1"/>
      <c r="J379" s="1"/>
      <c r="K379" s="1"/>
      <c r="L379" s="1"/>
      <c r="M379" s="1188"/>
    </row>
    <row r="380" spans="1:13" ht="12.75">
      <c r="A380" s="208" t="s">
        <v>864</v>
      </c>
      <c r="B380" s="544"/>
      <c r="C380" s="544"/>
      <c r="D380" s="924"/>
      <c r="E380" t="s">
        <v>907</v>
      </c>
      <c r="F380" s="1184">
        <f>F330+F366+F378</f>
        <v>73692.69999999998</v>
      </c>
      <c r="H380" s="947"/>
      <c r="I380" s="61" t="s">
        <v>909</v>
      </c>
      <c r="J380" s="1184">
        <f>J330+J366+J378</f>
        <v>38364.350699999995</v>
      </c>
      <c r="K380" s="659">
        <f>J380/F380</f>
        <v>0.5205990647648954</v>
      </c>
      <c r="L380" s="544" t="s">
        <v>863</v>
      </c>
      <c r="M380" s="1098"/>
    </row>
    <row r="381" spans="1:13" ht="12.75">
      <c r="A381" s="208" t="s">
        <v>862</v>
      </c>
      <c r="B381" s="544"/>
      <c r="C381" s="544"/>
      <c r="D381" s="924"/>
      <c r="E381" s="544"/>
      <c r="F381" s="1126">
        <f>F380*100/H292</f>
        <v>3.654205897630574</v>
      </c>
      <c r="G381" s="684" t="s">
        <v>898</v>
      </c>
      <c r="H381" s="945"/>
      <c r="I381" s="4"/>
      <c r="J381" s="1185">
        <f>J380*100/J292</f>
        <v>2.639718827722067</v>
      </c>
      <c r="K381" s="730" t="s">
        <v>897</v>
      </c>
      <c r="L381" s="730"/>
      <c r="M381" s="1099"/>
    </row>
    <row r="382" spans="1:13" ht="45.75" customHeight="1">
      <c r="A382" s="1220" t="s">
        <v>906</v>
      </c>
      <c r="B382" s="1220"/>
      <c r="C382" s="314"/>
      <c r="D382" s="1209"/>
      <c r="E382" s="730"/>
      <c r="F382" s="949"/>
      <c r="G382" s="684"/>
      <c r="H382" s="945"/>
      <c r="I382" s="4"/>
      <c r="J382" s="949">
        <f>F380*0.441</f>
        <v>32498.480699999993</v>
      </c>
      <c r="K382" s="730" t="s">
        <v>908</v>
      </c>
      <c r="L382" s="730"/>
      <c r="M382" s="1099"/>
    </row>
    <row r="383" spans="1:13" ht="12.75">
      <c r="A383" s="208"/>
      <c r="B383" s="544"/>
      <c r="C383" s="208"/>
      <c r="D383" s="924"/>
      <c r="E383" s="544"/>
      <c r="F383" s="943"/>
      <c r="G383" s="4"/>
      <c r="H383" s="945"/>
      <c r="I383" s="4"/>
      <c r="J383" s="949"/>
      <c r="K383" s="730"/>
      <c r="L383" s="730"/>
      <c r="M383" s="1099"/>
    </row>
    <row r="384" spans="1:13" ht="12.75">
      <c r="A384" s="314"/>
      <c r="D384" s="924"/>
      <c r="F384" s="943"/>
      <c r="G384" s="4"/>
      <c r="H384" s="945"/>
      <c r="I384" s="4"/>
      <c r="J384" s="943"/>
      <c r="M384" s="95"/>
    </row>
    <row r="385" spans="1:13" ht="12.75">
      <c r="A385" s="314"/>
      <c r="D385" s="924"/>
      <c r="F385" s="943"/>
      <c r="G385" s="4"/>
      <c r="H385" s="945"/>
      <c r="I385" s="4"/>
      <c r="J385" s="943"/>
      <c r="M385" s="95"/>
    </row>
    <row r="386" spans="1:13" ht="12.75">
      <c r="A386" s="314"/>
      <c r="D386" s="924"/>
      <c r="F386" s="943"/>
      <c r="G386" s="4"/>
      <c r="H386" s="945"/>
      <c r="I386" s="4"/>
      <c r="J386" s="943"/>
      <c r="M386" s="95"/>
    </row>
    <row r="387" spans="1:13" ht="15.75">
      <c r="A387" s="70" t="s">
        <v>117</v>
      </c>
      <c r="C387" s="70" t="s">
        <v>868</v>
      </c>
      <c r="D387" s="70"/>
      <c r="E387" s="70"/>
      <c r="F387" s="70"/>
      <c r="M387" s="95"/>
    </row>
    <row r="388" spans="1:13" ht="15.75">
      <c r="A388" s="70"/>
      <c r="B388" s="70"/>
      <c r="C388" s="70"/>
      <c r="D388" s="70"/>
      <c r="E388" s="70"/>
      <c r="F388" s="70"/>
      <c r="M388" s="95"/>
    </row>
    <row r="389" spans="1:13" ht="15.75">
      <c r="A389" s="71" t="s">
        <v>118</v>
      </c>
      <c r="B389" s="72"/>
      <c r="C389" s="72"/>
      <c r="D389" s="72"/>
      <c r="E389" s="72"/>
      <c r="F389" s="73" t="s">
        <v>514</v>
      </c>
      <c r="G389" s="73"/>
      <c r="H389" s="73"/>
      <c r="I389" s="73"/>
      <c r="M389" s="95"/>
    </row>
    <row r="390" spans="1:13" ht="13.5">
      <c r="A390" s="74"/>
      <c r="B390" s="75" t="s">
        <v>68</v>
      </c>
      <c r="C390" s="75" t="s">
        <v>69</v>
      </c>
      <c r="D390" s="952" t="s">
        <v>70</v>
      </c>
      <c r="E390" s="75" t="s">
        <v>71</v>
      </c>
      <c r="F390" s="75" t="s">
        <v>72</v>
      </c>
      <c r="G390" s="75" t="s">
        <v>73</v>
      </c>
      <c r="H390" s="76" t="s">
        <v>74</v>
      </c>
      <c r="I390" s="76" t="s">
        <v>147</v>
      </c>
      <c r="J390" s="76" t="s">
        <v>75</v>
      </c>
      <c r="K390" s="76" t="s">
        <v>133</v>
      </c>
      <c r="L390" s="76" t="s">
        <v>134</v>
      </c>
      <c r="M390" s="95"/>
    </row>
    <row r="391" spans="1:13" ht="13.5">
      <c r="A391" s="77"/>
      <c r="B391" s="78" t="s">
        <v>4</v>
      </c>
      <c r="C391" s="78" t="s">
        <v>4</v>
      </c>
      <c r="D391" s="953" t="s">
        <v>76</v>
      </c>
      <c r="E391" s="78" t="s">
        <v>4</v>
      </c>
      <c r="F391" s="78" t="s">
        <v>77</v>
      </c>
      <c r="G391" s="79" t="s">
        <v>78</v>
      </c>
      <c r="H391" s="79" t="s">
        <v>26</v>
      </c>
      <c r="I391" s="79" t="s">
        <v>148</v>
      </c>
      <c r="J391" s="38" t="s">
        <v>79</v>
      </c>
      <c r="K391" s="38" t="s">
        <v>131</v>
      </c>
      <c r="L391" s="38" t="s">
        <v>135</v>
      </c>
      <c r="M391" s="95"/>
    </row>
    <row r="392" spans="1:13" ht="13.5">
      <c r="A392" s="80"/>
      <c r="B392" s="81" t="s">
        <v>80</v>
      </c>
      <c r="C392" s="82" t="s">
        <v>81</v>
      </c>
      <c r="D392" s="951" t="s">
        <v>80</v>
      </c>
      <c r="E392" s="81" t="s">
        <v>80</v>
      </c>
      <c r="F392" s="82" t="s">
        <v>7</v>
      </c>
      <c r="G392" s="82" t="s">
        <v>82</v>
      </c>
      <c r="H392" s="81" t="s">
        <v>7</v>
      </c>
      <c r="I392" s="81" t="s">
        <v>146</v>
      </c>
      <c r="J392" s="83" t="s">
        <v>82</v>
      </c>
      <c r="K392" s="83" t="s">
        <v>132</v>
      </c>
      <c r="L392" s="83" t="s">
        <v>136</v>
      </c>
      <c r="M392" s="95"/>
    </row>
    <row r="393" spans="1:13" ht="12.75">
      <c r="A393" s="84" t="s">
        <v>5</v>
      </c>
      <c r="B393" s="85" t="s">
        <v>10</v>
      </c>
      <c r="C393" s="85" t="s">
        <v>11</v>
      </c>
      <c r="D393" s="85" t="s">
        <v>12</v>
      </c>
      <c r="E393" s="85" t="s">
        <v>13</v>
      </c>
      <c r="F393" s="85" t="s">
        <v>16</v>
      </c>
      <c r="G393" s="85" t="s">
        <v>14</v>
      </c>
      <c r="H393" s="85" t="s">
        <v>9</v>
      </c>
      <c r="I393" s="86" t="s">
        <v>17</v>
      </c>
      <c r="J393" s="87" t="s">
        <v>15</v>
      </c>
      <c r="K393" s="87" t="s">
        <v>83</v>
      </c>
      <c r="L393" s="87" t="s">
        <v>84</v>
      </c>
      <c r="M393" s="95"/>
    </row>
    <row r="394" spans="1:13" ht="12.75">
      <c r="A394" s="88">
        <v>1990</v>
      </c>
      <c r="B394" s="40">
        <v>0.11578</v>
      </c>
      <c r="C394">
        <v>0.2113</v>
      </c>
      <c r="D394" s="36">
        <f aca="true" t="shared" si="45" ref="D394:D407">C394/9</f>
        <v>0.023477777777777778</v>
      </c>
      <c r="E394" s="40">
        <v>0.07977555555555556</v>
      </c>
      <c r="F394" s="39">
        <v>4489</v>
      </c>
      <c r="G394" s="39">
        <v>358.1124688888889</v>
      </c>
      <c r="H394" s="39">
        <v>4489</v>
      </c>
      <c r="I394" s="44">
        <v>987.58</v>
      </c>
      <c r="J394" s="39">
        <f>B394*F394</f>
        <v>519.73642</v>
      </c>
      <c r="K394" s="40">
        <v>0.6373838383838383</v>
      </c>
      <c r="L394" s="40">
        <v>0.3626161616161616</v>
      </c>
      <c r="M394" s="95"/>
    </row>
    <row r="395" spans="1:13" ht="12.75">
      <c r="A395" s="88">
        <v>1996</v>
      </c>
      <c r="B395" s="36">
        <v>0.15863</v>
      </c>
      <c r="C395" s="760">
        <v>0.285</v>
      </c>
      <c r="D395" s="36">
        <f t="shared" si="45"/>
        <v>0.03166666666666666</v>
      </c>
      <c r="E395" s="36">
        <f>C395-B395-D395</f>
        <v>0.09470333333333332</v>
      </c>
      <c r="F395" s="30">
        <v>3660</v>
      </c>
      <c r="G395" s="30">
        <v>346.6141999999999</v>
      </c>
      <c r="H395" s="30">
        <v>3569</v>
      </c>
      <c r="I395" s="30">
        <v>1017.165</v>
      </c>
      <c r="J395" s="758">
        <f aca="true" t="shared" si="46" ref="J395:J410">B395*F395</f>
        <v>580.5858</v>
      </c>
      <c r="K395" s="36">
        <v>0.6677076023391814</v>
      </c>
      <c r="L395" s="36">
        <v>0.3322923976608187</v>
      </c>
      <c r="M395" s="95"/>
    </row>
    <row r="396" spans="1:13" ht="12.75">
      <c r="A396" s="88">
        <v>1997</v>
      </c>
      <c r="B396" s="36">
        <v>0.1632</v>
      </c>
      <c r="C396" s="761">
        <v>0.2975</v>
      </c>
      <c r="D396" s="36">
        <f t="shared" si="45"/>
        <v>0.03305555555555555</v>
      </c>
      <c r="E396" s="36">
        <f aca="true" t="shared" si="47" ref="E396:E410">C396-B396-D396</f>
        <v>0.10124444444444441</v>
      </c>
      <c r="F396" s="30">
        <v>3449</v>
      </c>
      <c r="G396" s="30">
        <v>349.1920888888888</v>
      </c>
      <c r="H396" s="30">
        <v>3483</v>
      </c>
      <c r="I396" s="30">
        <v>1036.1925</v>
      </c>
      <c r="J396" s="30">
        <f t="shared" si="46"/>
        <v>562.8768</v>
      </c>
      <c r="K396" s="36">
        <v>0.6596825396825398</v>
      </c>
      <c r="L396" s="36">
        <v>0.34031746031746024</v>
      </c>
      <c r="M396" s="95"/>
    </row>
    <row r="397" spans="1:13" ht="12.75">
      <c r="A397" s="88">
        <v>1998</v>
      </c>
      <c r="B397" s="36">
        <v>0.18082769230769233</v>
      </c>
      <c r="C397" s="761">
        <v>0.31</v>
      </c>
      <c r="D397" s="36">
        <f t="shared" si="45"/>
        <v>0.034444444444444444</v>
      </c>
      <c r="E397" s="36">
        <f t="shared" si="47"/>
        <v>0.09472786324786323</v>
      </c>
      <c r="F397" s="30">
        <v>3263</v>
      </c>
      <c r="G397" s="30">
        <v>309.0970177777777</v>
      </c>
      <c r="H397" s="30">
        <v>3296</v>
      </c>
      <c r="I397" s="30">
        <v>1021.76</v>
      </c>
      <c r="J397" s="30">
        <f t="shared" si="46"/>
        <v>590.0407600000001</v>
      </c>
      <c r="K397" s="36">
        <v>0.694426247587538</v>
      </c>
      <c r="L397" s="36">
        <v>0.30557375241246204</v>
      </c>
      <c r="M397" s="95"/>
    </row>
    <row r="398" spans="1:13" ht="12.75">
      <c r="A398" s="88">
        <v>1999</v>
      </c>
      <c r="B398" s="36">
        <v>0.19353833333333334</v>
      </c>
      <c r="C398" s="761">
        <v>0.332</v>
      </c>
      <c r="D398" s="36">
        <f t="shared" si="45"/>
        <v>0.03688888888888889</v>
      </c>
      <c r="E398" s="36">
        <f t="shared" si="47"/>
        <v>0.10157277777777779</v>
      </c>
      <c r="F398" s="30">
        <v>3119</v>
      </c>
      <c r="G398" s="30">
        <v>316.8054938888889</v>
      </c>
      <c r="H398" s="30">
        <v>3183</v>
      </c>
      <c r="I398" s="30">
        <v>1056.756</v>
      </c>
      <c r="J398" s="30">
        <f t="shared" si="46"/>
        <v>603.6460616666667</v>
      </c>
      <c r="K398" s="36">
        <v>0.6940578982597054</v>
      </c>
      <c r="L398" s="36">
        <v>0.3059421017402945</v>
      </c>
      <c r="M398" s="95"/>
    </row>
    <row r="399" spans="1:13" ht="12.75">
      <c r="A399" s="88">
        <v>2000</v>
      </c>
      <c r="B399" s="36">
        <v>0.22452941666666668</v>
      </c>
      <c r="C399" s="761">
        <v>0.37837</v>
      </c>
      <c r="D399" s="36">
        <f t="shared" si="45"/>
        <v>0.04204111111111111</v>
      </c>
      <c r="E399" s="36">
        <f t="shared" si="47"/>
        <v>0.1117994722222222</v>
      </c>
      <c r="F399" s="30">
        <v>3152</v>
      </c>
      <c r="G399" s="30">
        <v>352.39193644444435</v>
      </c>
      <c r="H399" s="30">
        <v>2721</v>
      </c>
      <c r="I399" s="30">
        <v>1029.54477</v>
      </c>
      <c r="J399" s="30">
        <f t="shared" si="46"/>
        <v>707.7167213333333</v>
      </c>
      <c r="K399" s="36">
        <v>0.7045234235742205</v>
      </c>
      <c r="L399" s="36">
        <v>0.2954765764257795</v>
      </c>
      <c r="M399" s="95"/>
    </row>
    <row r="400" spans="1:13" ht="12.75">
      <c r="A400" s="88">
        <v>2001</v>
      </c>
      <c r="B400" s="36">
        <v>0.2474833333333333</v>
      </c>
      <c r="C400" s="761">
        <v>0.416</v>
      </c>
      <c r="D400" s="36">
        <f t="shared" si="45"/>
        <v>0.04622222222222222</v>
      </c>
      <c r="E400" s="36">
        <f t="shared" si="47"/>
        <v>0.12229444444444446</v>
      </c>
      <c r="F400" s="30">
        <v>2608</v>
      </c>
      <c r="G400" s="30">
        <v>318.94391111111116</v>
      </c>
      <c r="H400" s="30">
        <v>2516</v>
      </c>
      <c r="I400" s="30">
        <v>1046.656</v>
      </c>
      <c r="J400" s="30">
        <f t="shared" si="46"/>
        <v>645.4365333333333</v>
      </c>
      <c r="K400" s="36">
        <v>0.7060229700854701</v>
      </c>
      <c r="L400" s="36">
        <v>0.29397702991452995</v>
      </c>
      <c r="M400" s="95"/>
    </row>
    <row r="401" spans="1:13" ht="12.75">
      <c r="A401" s="88">
        <v>2002</v>
      </c>
      <c r="B401" s="36">
        <v>0.2534666666666667</v>
      </c>
      <c r="C401" s="761">
        <v>0.44</v>
      </c>
      <c r="D401" s="36">
        <f t="shared" si="45"/>
        <v>0.04888888888888889</v>
      </c>
      <c r="E401" s="36">
        <f t="shared" si="47"/>
        <v>0.13764444444444443</v>
      </c>
      <c r="F401" s="30">
        <v>2817</v>
      </c>
      <c r="G401" s="30">
        <v>387.7444</v>
      </c>
      <c r="H401" s="30">
        <v>2581</v>
      </c>
      <c r="I401" s="30">
        <v>1135.64</v>
      </c>
      <c r="J401" s="30">
        <f t="shared" si="46"/>
        <v>714.0156000000001</v>
      </c>
      <c r="K401" s="36">
        <v>0.6871717171717171</v>
      </c>
      <c r="L401" s="36">
        <v>0.3128282828282828</v>
      </c>
      <c r="M401" s="95"/>
    </row>
    <row r="402" spans="1:13" ht="12.75">
      <c r="A402" s="88">
        <v>2003</v>
      </c>
      <c r="B402" s="36">
        <v>0.2599083333333333</v>
      </c>
      <c r="C402" s="761">
        <v>0.449</v>
      </c>
      <c r="D402" s="36">
        <f t="shared" si="45"/>
        <v>0.04988888888888889</v>
      </c>
      <c r="E402" s="36">
        <f t="shared" si="47"/>
        <v>0.13920277777777781</v>
      </c>
      <c r="F402" s="30">
        <v>2367</v>
      </c>
      <c r="G402" s="30">
        <v>329.49297500000006</v>
      </c>
      <c r="H402" s="30">
        <v>2596</v>
      </c>
      <c r="I402" s="30">
        <v>1165.604</v>
      </c>
      <c r="J402" s="30">
        <f t="shared" si="46"/>
        <v>615.2030249999999</v>
      </c>
      <c r="K402" s="36">
        <v>0.6899715416975994</v>
      </c>
      <c r="L402" s="36">
        <v>0.31002845830240044</v>
      </c>
      <c r="M402" s="95"/>
    </row>
    <row r="403" spans="1:13" ht="12.75">
      <c r="A403" s="88">
        <v>2004</v>
      </c>
      <c r="B403" s="36">
        <v>0.2639666666666667</v>
      </c>
      <c r="C403" s="761">
        <v>0.456</v>
      </c>
      <c r="D403" s="36">
        <f t="shared" si="45"/>
        <v>0.050666666666666665</v>
      </c>
      <c r="E403" s="36">
        <f t="shared" si="47"/>
        <v>0.14136666666666667</v>
      </c>
      <c r="F403" s="30">
        <v>2320</v>
      </c>
      <c r="G403" s="30">
        <v>327.97066666666666</v>
      </c>
      <c r="H403" s="30">
        <v>2331</v>
      </c>
      <c r="I403" s="30">
        <v>1062.9360000000001</v>
      </c>
      <c r="J403" s="30">
        <f t="shared" si="46"/>
        <v>612.4026666666667</v>
      </c>
      <c r="K403" s="36">
        <v>0.689985380116959</v>
      </c>
      <c r="L403" s="36">
        <v>0.3100146198830409</v>
      </c>
      <c r="M403" s="95"/>
    </row>
    <row r="404" spans="1:13" ht="12.75">
      <c r="A404" s="88">
        <v>2005</v>
      </c>
      <c r="B404" s="36">
        <v>0.2708658333333333</v>
      </c>
      <c r="C404" s="761">
        <v>0.463</v>
      </c>
      <c r="D404" s="36">
        <f t="shared" si="45"/>
        <v>0.051444444444444445</v>
      </c>
      <c r="E404" s="36">
        <f t="shared" si="47"/>
        <v>0.14068972222222226</v>
      </c>
      <c r="F404" s="30">
        <v>2436</v>
      </c>
      <c r="G404" s="30">
        <v>342.7201633333334</v>
      </c>
      <c r="H404" s="30">
        <f>2335</f>
        <v>2335</v>
      </c>
      <c r="I404" s="30">
        <v>1081.105</v>
      </c>
      <c r="J404" s="30">
        <f t="shared" si="46"/>
        <v>659.82917</v>
      </c>
      <c r="K404" s="36">
        <v>0.6961345092392608</v>
      </c>
      <c r="L404" s="36">
        <v>0.3038654907607392</v>
      </c>
      <c r="M404" s="95"/>
    </row>
    <row r="405" spans="1:13" ht="12.75">
      <c r="A405" s="88">
        <v>2006</v>
      </c>
      <c r="B405" s="36">
        <v>0.2802133333333333</v>
      </c>
      <c r="C405" s="892">
        <v>0.483</v>
      </c>
      <c r="D405" s="36">
        <f t="shared" si="45"/>
        <v>0.05366666666666667</v>
      </c>
      <c r="E405" s="36">
        <f t="shared" si="47"/>
        <v>0.14912</v>
      </c>
      <c r="F405" s="30">
        <v>2439</v>
      </c>
      <c r="G405" s="30">
        <v>363.70368</v>
      </c>
      <c r="H405" s="30">
        <v>2350</v>
      </c>
      <c r="I405" s="30">
        <v>1135.05</v>
      </c>
      <c r="J405" s="30">
        <f t="shared" si="46"/>
        <v>683.4403199999999</v>
      </c>
      <c r="K405" s="36">
        <v>0.6912629399585921</v>
      </c>
      <c r="L405" s="36">
        <v>0.3087370600414079</v>
      </c>
      <c r="M405" s="95"/>
    </row>
    <row r="406" spans="1:13" ht="12.75">
      <c r="A406" s="88">
        <v>2007</v>
      </c>
      <c r="B406" s="36">
        <v>0.289615</v>
      </c>
      <c r="C406" s="761">
        <v>0.502</v>
      </c>
      <c r="D406" s="36">
        <f t="shared" si="45"/>
        <v>0.05577777777777778</v>
      </c>
      <c r="E406" s="36">
        <f t="shared" si="47"/>
        <v>0.1566072222222222</v>
      </c>
      <c r="F406" s="30">
        <v>2445</v>
      </c>
      <c r="G406" s="30">
        <v>382.90465833333326</v>
      </c>
      <c r="H406" s="30">
        <v>2344</v>
      </c>
      <c r="I406" s="30">
        <v>1179</v>
      </c>
      <c r="J406" s="30">
        <f t="shared" si="46"/>
        <v>708.1086750000001</v>
      </c>
      <c r="K406" s="36">
        <v>0.6880334218680833</v>
      </c>
      <c r="L406" s="36">
        <v>0.31196657813191675</v>
      </c>
      <c r="M406" s="95"/>
    </row>
    <row r="407" spans="1:13" ht="12.75">
      <c r="A407" s="88">
        <v>2008</v>
      </c>
      <c r="B407" s="36">
        <v>0.29462</v>
      </c>
      <c r="C407" s="761">
        <v>0.5124</v>
      </c>
      <c r="D407" s="36">
        <f t="shared" si="45"/>
        <v>0.05693333333333333</v>
      </c>
      <c r="E407" s="36">
        <f t="shared" si="47"/>
        <v>0.16084666666666664</v>
      </c>
      <c r="F407" s="30">
        <v>2550</v>
      </c>
      <c r="G407" s="30"/>
      <c r="H407" s="30">
        <v>2324</v>
      </c>
      <c r="I407" s="30"/>
      <c r="J407" s="30">
        <f t="shared" si="46"/>
        <v>751.281</v>
      </c>
      <c r="K407" s="36"/>
      <c r="L407" s="36"/>
      <c r="M407" s="95"/>
    </row>
    <row r="408" spans="1:13" ht="12.75">
      <c r="A408" s="88">
        <v>2009</v>
      </c>
      <c r="B408" s="36">
        <v>0.30955</v>
      </c>
      <c r="C408" s="761">
        <v>0.527</v>
      </c>
      <c r="D408" s="36">
        <f>C408/9</f>
        <v>0.058555555555555555</v>
      </c>
      <c r="E408" s="36">
        <f t="shared" si="47"/>
        <v>0.15889444444444448</v>
      </c>
      <c r="F408" s="30">
        <v>2436</v>
      </c>
      <c r="G408" s="30">
        <f>E408*F408</f>
        <v>387.0668666666667</v>
      </c>
      <c r="H408" s="30">
        <v>2304.972</v>
      </c>
      <c r="I408" s="30">
        <v>1214.21</v>
      </c>
      <c r="J408" s="30">
        <f t="shared" si="46"/>
        <v>754.0638</v>
      </c>
      <c r="K408" s="36">
        <f>(B408+D408)/C408</f>
        <v>0.6984925152856841</v>
      </c>
      <c r="L408" s="36">
        <f>0.29</f>
        <v>0.29</v>
      </c>
      <c r="M408" s="95"/>
    </row>
    <row r="409" spans="1:13" ht="12.75">
      <c r="A409" s="88">
        <v>2010</v>
      </c>
      <c r="B409" s="115">
        <f>(0.314*4+0.34587*8)/12</f>
        <v>0.3352466666666667</v>
      </c>
      <c r="C409" s="761">
        <v>0.58</v>
      </c>
      <c r="D409" s="36">
        <f>C409*(9/9+3*0.13)/12</f>
        <v>0.06718333333333333</v>
      </c>
      <c r="E409" s="36">
        <f t="shared" si="47"/>
        <v>0.17756999999999995</v>
      </c>
      <c r="F409" s="30">
        <f>H409</f>
        <v>2220</v>
      </c>
      <c r="G409" s="30">
        <f>E409*F409</f>
        <v>394.2053999999999</v>
      </c>
      <c r="H409" s="30">
        <v>2220</v>
      </c>
      <c r="I409" s="39">
        <f>F409*C409</f>
        <v>1287.6</v>
      </c>
      <c r="J409" s="30">
        <f t="shared" si="46"/>
        <v>744.2476</v>
      </c>
      <c r="K409" s="36">
        <f>(B409+D409)/C409</f>
        <v>0.6938448275862069</v>
      </c>
      <c r="L409" s="36">
        <f>E409/C409</f>
        <v>0.30615517241379303</v>
      </c>
      <c r="M409" s="95"/>
    </row>
    <row r="410" spans="1:13" ht="12.75">
      <c r="A410" s="88">
        <v>2011</v>
      </c>
      <c r="B410" s="115">
        <v>0.386</v>
      </c>
      <c r="C410" s="115">
        <v>0.67</v>
      </c>
      <c r="D410" s="115">
        <f>C410*15/115</f>
        <v>0.08739130434782609</v>
      </c>
      <c r="E410" s="115">
        <f t="shared" si="47"/>
        <v>0.19660869565217393</v>
      </c>
      <c r="F410" s="30">
        <f>H410</f>
        <v>2083</v>
      </c>
      <c r="G410" s="30">
        <f>E410*H410</f>
        <v>409.5359130434783</v>
      </c>
      <c r="H410" s="30">
        <v>2083</v>
      </c>
      <c r="I410" s="39">
        <f>H410*C410</f>
        <v>1395.6100000000001</v>
      </c>
      <c r="J410" s="39">
        <f t="shared" si="46"/>
        <v>804.038</v>
      </c>
      <c r="K410" s="36">
        <f>(B410+D410)/C410</f>
        <v>0.7065541855937703</v>
      </c>
      <c r="L410" s="36">
        <f>E410/C410</f>
        <v>0.29344581440622974</v>
      </c>
      <c r="M410" s="95"/>
    </row>
    <row r="411" spans="1:13" ht="12.75">
      <c r="A411" s="88">
        <v>2012</v>
      </c>
      <c r="B411" s="115">
        <v>0.442</v>
      </c>
      <c r="C411" s="115">
        <v>0.714</v>
      </c>
      <c r="D411" s="115">
        <f>C411*15/115</f>
        <v>0.09313043478260868</v>
      </c>
      <c r="E411" s="115">
        <f>C411-B411-D411</f>
        <v>0.17886956521739128</v>
      </c>
      <c r="F411" s="30">
        <f>H411</f>
        <v>2016.65429</v>
      </c>
      <c r="G411" s="30">
        <f>E411*H411</f>
        <v>360.7180760460869</v>
      </c>
      <c r="H411" s="61">
        <f>H292/1000</f>
        <v>2016.65429</v>
      </c>
      <c r="I411" s="30">
        <f>J292/1000</f>
        <v>1453.3498907952378</v>
      </c>
      <c r="J411" s="39">
        <f>B411*F411</f>
        <v>891.36119618</v>
      </c>
      <c r="K411" s="36">
        <f>(B411+D411)/C411</f>
        <v>0.7494824016563147</v>
      </c>
      <c r="L411" s="36">
        <f>E411/C411</f>
        <v>0.25051759834368525</v>
      </c>
      <c r="M411" s="95"/>
    </row>
    <row r="412" spans="1:13" ht="12.75">
      <c r="A412" s="89" t="s">
        <v>796</v>
      </c>
      <c r="B412" s="90">
        <f>(B411-B394)/B394</f>
        <v>2.817585075142512</v>
      </c>
      <c r="C412" s="90">
        <f aca="true" t="shared" si="48" ref="C412:L412">(C411-C394)/C394</f>
        <v>2.379081874112636</v>
      </c>
      <c r="D412" s="90">
        <f t="shared" si="48"/>
        <v>2.96674828700179</v>
      </c>
      <c r="E412" s="90">
        <f t="shared" si="48"/>
        <v>1.2421600698578255</v>
      </c>
      <c r="F412" s="90">
        <f t="shared" si="48"/>
        <v>-0.5507564513254622</v>
      </c>
      <c r="G412" s="90">
        <f>(G411-G394)/G394</f>
        <v>0.007275946479278924</v>
      </c>
      <c r="H412" s="90">
        <f>(H411-H394)/H394</f>
        <v>-0.5507564513254622</v>
      </c>
      <c r="I412" s="90">
        <f>(I411-I394)/I394</f>
        <v>0.4716275043998843</v>
      </c>
      <c r="J412" s="90">
        <f t="shared" si="48"/>
        <v>0.7150254665239739</v>
      </c>
      <c r="K412" s="90">
        <f t="shared" si="48"/>
        <v>0.17587293012749675</v>
      </c>
      <c r="L412" s="90">
        <f t="shared" si="48"/>
        <v>-0.3091383538253199</v>
      </c>
      <c r="M412" s="95"/>
    </row>
    <row r="413" spans="1:13" ht="12.75">
      <c r="A413" s="26" t="s">
        <v>85</v>
      </c>
      <c r="B413" s="26" t="s">
        <v>473</v>
      </c>
      <c r="C413" s="26"/>
      <c r="D413" s="26"/>
      <c r="E413" s="26"/>
      <c r="F413" s="26"/>
      <c r="G413" s="90">
        <f>(H412-G395)/G395</f>
        <v>-1.001588961015808</v>
      </c>
      <c r="H413" s="26"/>
      <c r="I413" s="26"/>
      <c r="J413" s="4"/>
      <c r="K413" s="4"/>
      <c r="L413" s="4"/>
      <c r="M413" s="95"/>
    </row>
    <row r="414" spans="1:13" ht="12.75">
      <c r="A414" s="91" t="s">
        <v>10</v>
      </c>
      <c r="B414" s="26" t="s">
        <v>86</v>
      </c>
      <c r="C414" s="26"/>
      <c r="D414" s="26"/>
      <c r="E414" s="26"/>
      <c r="F414" s="4"/>
      <c r="G414" s="92" t="s">
        <v>87</v>
      </c>
      <c r="H414" s="26"/>
      <c r="I414" s="26"/>
      <c r="J414" s="4"/>
      <c r="K414" s="4"/>
      <c r="L414" s="4"/>
      <c r="M414" s="95"/>
    </row>
    <row r="415" spans="1:13" ht="12.75">
      <c r="A415" s="91" t="s">
        <v>11</v>
      </c>
      <c r="B415" s="26" t="s">
        <v>529</v>
      </c>
      <c r="C415" s="26"/>
      <c r="D415" s="26"/>
      <c r="E415" s="26"/>
      <c r="F415" s="26"/>
      <c r="G415" s="26"/>
      <c r="H415" s="26"/>
      <c r="I415" s="26"/>
      <c r="J415" s="4"/>
      <c r="K415" s="4"/>
      <c r="L415" s="4"/>
      <c r="M415" s="95"/>
    </row>
    <row r="416" spans="1:13" ht="12.75">
      <c r="A416" s="59" t="s">
        <v>88</v>
      </c>
      <c r="B416" s="26" t="s">
        <v>475</v>
      </c>
      <c r="C416" s="26"/>
      <c r="D416" s="26"/>
      <c r="E416" s="26"/>
      <c r="F416" s="26"/>
      <c r="G416" s="26"/>
      <c r="H416" s="26"/>
      <c r="I416" s="26"/>
      <c r="J416" s="4"/>
      <c r="K416" s="4"/>
      <c r="L416" s="4"/>
      <c r="M416" s="95"/>
    </row>
    <row r="417" spans="1:13" ht="12.75">
      <c r="A417" s="59" t="s">
        <v>13</v>
      </c>
      <c r="B417" s="58" t="s">
        <v>89</v>
      </c>
      <c r="C417" s="26"/>
      <c r="D417" s="26"/>
      <c r="E417" s="26"/>
      <c r="F417" s="26"/>
      <c r="G417" s="26"/>
      <c r="H417" s="26"/>
      <c r="I417" s="26"/>
      <c r="J417" s="4"/>
      <c r="K417" s="4"/>
      <c r="L417" s="4"/>
      <c r="M417" s="95"/>
    </row>
    <row r="418" spans="1:13" ht="12.75">
      <c r="A418" s="59" t="s">
        <v>16</v>
      </c>
      <c r="B418" s="58" t="s">
        <v>90</v>
      </c>
      <c r="C418" s="26"/>
      <c r="D418" s="26"/>
      <c r="E418" s="92" t="s">
        <v>91</v>
      </c>
      <c r="F418" s="26"/>
      <c r="G418" s="26"/>
      <c r="H418" s="26" t="s">
        <v>474</v>
      </c>
      <c r="I418" s="26"/>
      <c r="J418" s="4"/>
      <c r="K418" s="4"/>
      <c r="L418" s="4"/>
      <c r="M418" s="95"/>
    </row>
    <row r="419" spans="1:13" ht="12.75">
      <c r="A419" s="59" t="s">
        <v>14</v>
      </c>
      <c r="B419" s="58" t="s">
        <v>163</v>
      </c>
      <c r="C419" s="26"/>
      <c r="D419" s="26"/>
      <c r="E419" s="26"/>
      <c r="F419" s="26"/>
      <c r="G419" s="26"/>
      <c r="H419" s="26"/>
      <c r="I419" s="26"/>
      <c r="J419" s="4"/>
      <c r="K419" s="4"/>
      <c r="L419" s="4"/>
      <c r="M419" s="95"/>
    </row>
    <row r="420" spans="1:13" ht="12.75">
      <c r="A420" s="59" t="s">
        <v>9</v>
      </c>
      <c r="B420" s="58" t="s">
        <v>669</v>
      </c>
      <c r="C420" s="26"/>
      <c r="D420" s="26"/>
      <c r="E420" s="26"/>
      <c r="F420" s="26"/>
      <c r="G420" s="26"/>
      <c r="H420" s="26"/>
      <c r="I420" s="26"/>
      <c r="J420" s="4"/>
      <c r="K420" s="4"/>
      <c r="L420" s="4"/>
      <c r="M420" s="95"/>
    </row>
    <row r="421" spans="1:13" ht="12.75">
      <c r="A421" s="59" t="s">
        <v>17</v>
      </c>
      <c r="B421" s="58" t="s">
        <v>92</v>
      </c>
      <c r="C421" s="26"/>
      <c r="D421" s="26"/>
      <c r="E421" s="26"/>
      <c r="F421" s="26"/>
      <c r="G421" s="26"/>
      <c r="H421" s="26"/>
      <c r="I421" s="26"/>
      <c r="J421" s="4"/>
      <c r="K421" s="4"/>
      <c r="L421" s="4"/>
      <c r="M421" s="95"/>
    </row>
    <row r="422" spans="1:13" ht="12.75">
      <c r="A422" s="59" t="s">
        <v>15</v>
      </c>
      <c r="B422" s="58" t="s">
        <v>93</v>
      </c>
      <c r="C422" s="4"/>
      <c r="D422" s="4"/>
      <c r="E422" s="4"/>
      <c r="F422" s="4"/>
      <c r="G422" s="4"/>
      <c r="H422" s="4"/>
      <c r="I422" s="26"/>
      <c r="J422" s="4"/>
      <c r="K422" s="4"/>
      <c r="L422" s="4"/>
      <c r="M422" s="95"/>
    </row>
    <row r="423" spans="1:13" ht="12.75">
      <c r="A423" s="59" t="s">
        <v>83</v>
      </c>
      <c r="B423" s="58" t="s">
        <v>164</v>
      </c>
      <c r="C423" s="26"/>
      <c r="D423" s="26"/>
      <c r="E423" s="26"/>
      <c r="F423" s="26"/>
      <c r="G423" s="26" t="s">
        <v>165</v>
      </c>
      <c r="H423" s="26"/>
      <c r="I423" s="26"/>
      <c r="J423" s="4"/>
      <c r="K423" s="4"/>
      <c r="L423" s="4"/>
      <c r="M423" s="95"/>
    </row>
    <row r="424" spans="1:13" ht="12.75">
      <c r="A424" s="59" t="s">
        <v>84</v>
      </c>
      <c r="B424" s="58" t="s">
        <v>534</v>
      </c>
      <c r="C424" s="26"/>
      <c r="D424" s="26"/>
      <c r="E424" s="26"/>
      <c r="F424" s="26"/>
      <c r="G424" s="26"/>
      <c r="H424" s="26"/>
      <c r="I424" s="26"/>
      <c r="J424" s="4"/>
      <c r="K424" s="4"/>
      <c r="L424" s="4"/>
      <c r="M424" s="95"/>
    </row>
    <row r="425" spans="1:15" ht="12.75">
      <c r="A425" s="58"/>
      <c r="D425" s="26"/>
      <c r="E425" s="26"/>
      <c r="F425" s="26"/>
      <c r="G425" s="26"/>
      <c r="H425" s="26"/>
      <c r="I425" s="26"/>
      <c r="J425" s="4"/>
      <c r="K425" s="4"/>
      <c r="L425" s="4"/>
      <c r="M425" s="842"/>
      <c r="N425" s="843"/>
      <c r="O425" s="843"/>
    </row>
    <row r="426" spans="1:15" ht="12.75">
      <c r="A426" s="58"/>
      <c r="D426" s="26"/>
      <c r="E426" s="26"/>
      <c r="F426" s="26"/>
      <c r="G426" s="26"/>
      <c r="H426" s="26"/>
      <c r="I426" s="26"/>
      <c r="J426" s="4"/>
      <c r="K426" s="4"/>
      <c r="L426" s="4"/>
      <c r="M426" s="842"/>
      <c r="N426" s="843"/>
      <c r="O426" s="843"/>
    </row>
    <row r="427" spans="1:15" ht="12.75">
      <c r="A427" s="58"/>
      <c r="D427" s="26"/>
      <c r="E427" s="26"/>
      <c r="F427" s="26"/>
      <c r="G427" s="26"/>
      <c r="H427" s="26"/>
      <c r="I427" s="26"/>
      <c r="J427" s="4"/>
      <c r="K427" s="4"/>
      <c r="L427" s="4"/>
      <c r="M427" s="842"/>
      <c r="N427" s="843"/>
      <c r="O427" s="843"/>
    </row>
    <row r="428" spans="1:13" ht="15.75">
      <c r="A428" s="93" t="s">
        <v>119</v>
      </c>
      <c r="B428" s="94"/>
      <c r="C428" s="94"/>
      <c r="D428" s="94"/>
      <c r="E428" s="94"/>
      <c r="F428" s="95" t="s">
        <v>514</v>
      </c>
      <c r="M428" s="95"/>
    </row>
    <row r="429" spans="1:13" ht="13.5">
      <c r="A429" s="74"/>
      <c r="B429" s="96" t="s">
        <v>68</v>
      </c>
      <c r="C429" s="75" t="s">
        <v>69</v>
      </c>
      <c r="D429" s="75" t="s">
        <v>94</v>
      </c>
      <c r="E429" s="75" t="s">
        <v>95</v>
      </c>
      <c r="F429" s="75" t="s">
        <v>72</v>
      </c>
      <c r="G429" s="96" t="s">
        <v>73</v>
      </c>
      <c r="H429" s="76" t="s">
        <v>74</v>
      </c>
      <c r="I429" s="76" t="s">
        <v>147</v>
      </c>
      <c r="J429" s="76" t="s">
        <v>75</v>
      </c>
      <c r="K429" s="76" t="s">
        <v>133</v>
      </c>
      <c r="L429" s="76" t="s">
        <v>134</v>
      </c>
      <c r="M429" s="95"/>
    </row>
    <row r="430" spans="1:13" ht="13.5">
      <c r="A430" s="77"/>
      <c r="B430" s="79" t="s">
        <v>96</v>
      </c>
      <c r="C430" s="79" t="s">
        <v>96</v>
      </c>
      <c r="D430" s="79" t="s">
        <v>96</v>
      </c>
      <c r="E430" s="79" t="s">
        <v>96</v>
      </c>
      <c r="F430" s="78" t="s">
        <v>77</v>
      </c>
      <c r="G430" s="79" t="s">
        <v>78</v>
      </c>
      <c r="H430" s="79" t="s">
        <v>26</v>
      </c>
      <c r="I430" s="79" t="s">
        <v>148</v>
      </c>
      <c r="J430" s="38" t="s">
        <v>79</v>
      </c>
      <c r="K430" s="38" t="s">
        <v>131</v>
      </c>
      <c r="L430" s="38" t="s">
        <v>135</v>
      </c>
      <c r="M430" s="95"/>
    </row>
    <row r="431" spans="1:13" ht="13.5">
      <c r="A431" s="80"/>
      <c r="B431" s="81" t="s">
        <v>80</v>
      </c>
      <c r="C431" s="82" t="s">
        <v>81</v>
      </c>
      <c r="D431" s="81" t="s">
        <v>80</v>
      </c>
      <c r="E431" s="81" t="s">
        <v>80</v>
      </c>
      <c r="F431" s="81" t="s">
        <v>8</v>
      </c>
      <c r="G431" s="81" t="s">
        <v>82</v>
      </c>
      <c r="H431" s="81" t="s">
        <v>8</v>
      </c>
      <c r="I431" s="81" t="s">
        <v>146</v>
      </c>
      <c r="J431" s="83" t="s">
        <v>82</v>
      </c>
      <c r="K431" s="83" t="s">
        <v>132</v>
      </c>
      <c r="L431" s="83" t="s">
        <v>136</v>
      </c>
      <c r="M431" s="95"/>
    </row>
    <row r="432" spans="1:13" ht="12.75">
      <c r="A432" s="97" t="s">
        <v>5</v>
      </c>
      <c r="B432" s="86" t="s">
        <v>10</v>
      </c>
      <c r="C432" s="86" t="s">
        <v>11</v>
      </c>
      <c r="D432" s="86" t="s">
        <v>12</v>
      </c>
      <c r="E432" s="86" t="s">
        <v>13</v>
      </c>
      <c r="F432" s="86" t="s">
        <v>16</v>
      </c>
      <c r="G432" s="86" t="s">
        <v>14</v>
      </c>
      <c r="H432" s="86" t="s">
        <v>9</v>
      </c>
      <c r="I432" s="86" t="s">
        <v>17</v>
      </c>
      <c r="J432" s="98" t="s">
        <v>15</v>
      </c>
      <c r="K432" s="98" t="s">
        <v>83</v>
      </c>
      <c r="L432" s="98" t="s">
        <v>84</v>
      </c>
      <c r="M432" s="95"/>
    </row>
    <row r="433" spans="1:13" ht="12.75">
      <c r="A433" s="88">
        <v>1990</v>
      </c>
      <c r="B433" s="950">
        <v>0.105705</v>
      </c>
      <c r="C433" s="645">
        <v>0.1809</v>
      </c>
      <c r="D433" s="115">
        <f aca="true" t="shared" si="49" ref="D433:D445">C433/9</f>
        <v>0.0201</v>
      </c>
      <c r="E433" s="973">
        <f>C433-B433-D433</f>
        <v>0.05509500000000001</v>
      </c>
      <c r="F433" s="44">
        <v>602</v>
      </c>
      <c r="G433" s="44">
        <v>33.80932333333334</v>
      </c>
      <c r="H433" s="44">
        <v>602</v>
      </c>
      <c r="I433" s="44">
        <v>109.6242</v>
      </c>
      <c r="J433" s="44">
        <f>B433*F433</f>
        <v>63.634409999999995</v>
      </c>
      <c r="K433" s="45">
        <v>0.6915888705839282</v>
      </c>
      <c r="L433" s="45">
        <v>0.3084111294160718</v>
      </c>
      <c r="M433" s="95"/>
    </row>
    <row r="434" spans="1:13" ht="12.75">
      <c r="A434" s="88">
        <v>1996</v>
      </c>
      <c r="B434" s="188">
        <v>0.19867166666666666</v>
      </c>
      <c r="C434" s="891">
        <v>0.327</v>
      </c>
      <c r="D434" s="115">
        <f t="shared" si="49"/>
        <v>0.036333333333333336</v>
      </c>
      <c r="E434" s="115">
        <f aca="true" t="shared" si="50" ref="E434:E449">C434-B434-D434</f>
        <v>0.09199500000000002</v>
      </c>
      <c r="F434" s="30">
        <v>658</v>
      </c>
      <c r="G434" s="30">
        <v>60.532710000000016</v>
      </c>
      <c r="H434" s="30">
        <v>674</v>
      </c>
      <c r="I434" s="758">
        <v>220.398</v>
      </c>
      <c r="J434" s="758">
        <f aca="true" t="shared" si="51" ref="J434:J449">B434*F434</f>
        <v>130.72595666666666</v>
      </c>
      <c r="K434" s="36">
        <v>0.7186697247706422</v>
      </c>
      <c r="L434" s="36">
        <v>0.28133027522935783</v>
      </c>
      <c r="M434" s="95"/>
    </row>
    <row r="435" spans="1:13" ht="12.75">
      <c r="A435" s="88">
        <v>1997</v>
      </c>
      <c r="B435" s="188">
        <v>0.2031725</v>
      </c>
      <c r="C435" s="892">
        <v>0.3375</v>
      </c>
      <c r="D435" s="115">
        <f t="shared" si="49"/>
        <v>0.037500000000000006</v>
      </c>
      <c r="E435" s="115">
        <f t="shared" si="50"/>
        <v>0.09682750000000001</v>
      </c>
      <c r="F435" s="30">
        <v>732</v>
      </c>
      <c r="G435" s="30">
        <v>70.87773000000001</v>
      </c>
      <c r="H435" s="30">
        <v>699</v>
      </c>
      <c r="I435" s="30">
        <v>235.9125</v>
      </c>
      <c r="J435" s="30">
        <f t="shared" si="51"/>
        <v>148.72227</v>
      </c>
      <c r="K435" s="36">
        <v>0.7131037037037037</v>
      </c>
      <c r="L435" s="36">
        <v>0.2868962962962963</v>
      </c>
      <c r="M435" s="95"/>
    </row>
    <row r="436" spans="1:13" ht="12.75">
      <c r="A436" s="88">
        <v>1998</v>
      </c>
      <c r="B436" s="188">
        <v>0.22603461538461536</v>
      </c>
      <c r="C436" s="892">
        <v>0.369</v>
      </c>
      <c r="D436" s="115">
        <f t="shared" si="49"/>
        <v>0.041</v>
      </c>
      <c r="E436" s="115">
        <f t="shared" si="50"/>
        <v>0.10196538461538462</v>
      </c>
      <c r="F436" s="30">
        <v>756</v>
      </c>
      <c r="G436" s="30">
        <v>77.08583076923078</v>
      </c>
      <c r="H436" s="30">
        <v>724</v>
      </c>
      <c r="I436" s="30">
        <v>267.156</v>
      </c>
      <c r="J436" s="30">
        <f t="shared" si="51"/>
        <v>170.88216923076922</v>
      </c>
      <c r="K436" s="36">
        <v>0.7236710444027517</v>
      </c>
      <c r="L436" s="36">
        <v>0.2763289555972483</v>
      </c>
      <c r="M436" s="95"/>
    </row>
    <row r="437" spans="1:13" ht="12.75">
      <c r="A437" s="88">
        <v>1999</v>
      </c>
      <c r="B437" s="188">
        <v>0.2419283333333333</v>
      </c>
      <c r="C437" s="892">
        <v>0.399</v>
      </c>
      <c r="D437" s="115">
        <f t="shared" si="49"/>
        <v>0.044333333333333336</v>
      </c>
      <c r="E437" s="115">
        <f t="shared" si="50"/>
        <v>0.11273833333333338</v>
      </c>
      <c r="F437" s="30">
        <v>736</v>
      </c>
      <c r="G437" s="30">
        <v>82.97541333333336</v>
      </c>
      <c r="H437" s="30">
        <v>710</v>
      </c>
      <c r="I437" s="30">
        <v>283.29</v>
      </c>
      <c r="J437" s="30">
        <f t="shared" si="51"/>
        <v>178.05925333333332</v>
      </c>
      <c r="K437" s="36">
        <v>0.7174477861319966</v>
      </c>
      <c r="L437" s="36">
        <v>0.28255221386800344</v>
      </c>
      <c r="M437" s="95"/>
    </row>
    <row r="438" spans="1:13" ht="12.75">
      <c r="A438" s="88">
        <v>2000</v>
      </c>
      <c r="B438" s="188">
        <v>0.2807085833333334</v>
      </c>
      <c r="C438" s="892">
        <v>0.453</v>
      </c>
      <c r="D438" s="115">
        <f t="shared" si="49"/>
        <v>0.050333333333333334</v>
      </c>
      <c r="E438" s="115">
        <f t="shared" si="50"/>
        <v>0.1219580833333333</v>
      </c>
      <c r="F438" s="30">
        <v>841</v>
      </c>
      <c r="G438" s="30">
        <v>102.56674808333331</v>
      </c>
      <c r="H438" s="30">
        <v>730</v>
      </c>
      <c r="I438" s="30">
        <v>330.69</v>
      </c>
      <c r="J438" s="30">
        <f t="shared" si="51"/>
        <v>236.07591858333336</v>
      </c>
      <c r="K438" s="36">
        <v>0.7307768579838118</v>
      </c>
      <c r="L438" s="36">
        <v>0.2692231420161883</v>
      </c>
      <c r="M438" s="95"/>
    </row>
    <row r="439" spans="1:13" ht="12.75">
      <c r="A439" s="88">
        <v>2001</v>
      </c>
      <c r="B439" s="188">
        <v>0.3095833333333333</v>
      </c>
      <c r="C439" s="892">
        <v>0.5</v>
      </c>
      <c r="D439" s="115">
        <f t="shared" si="49"/>
        <v>0.05555555555555555</v>
      </c>
      <c r="E439" s="115">
        <f t="shared" si="50"/>
        <v>0.13486111111111113</v>
      </c>
      <c r="F439" s="30">
        <v>780</v>
      </c>
      <c r="G439" s="30">
        <v>105.19166666666668</v>
      </c>
      <c r="H439" s="30">
        <v>732</v>
      </c>
      <c r="I439" s="30">
        <v>366</v>
      </c>
      <c r="J439" s="30">
        <f t="shared" si="51"/>
        <v>241.475</v>
      </c>
      <c r="K439" s="36">
        <v>0.7302777777777778</v>
      </c>
      <c r="L439" s="36">
        <v>0.26972222222222225</v>
      </c>
      <c r="M439" s="95"/>
    </row>
    <row r="440" spans="1:13" ht="12.75">
      <c r="A440" s="88">
        <v>2002</v>
      </c>
      <c r="B440" s="188">
        <v>0.3167083333333333</v>
      </c>
      <c r="C440" s="892">
        <v>0.51</v>
      </c>
      <c r="D440" s="115">
        <f t="shared" si="49"/>
        <v>0.05666666666666667</v>
      </c>
      <c r="E440" s="115">
        <f t="shared" si="50"/>
        <v>0.13662500000000002</v>
      </c>
      <c r="F440" s="30">
        <v>810</v>
      </c>
      <c r="G440" s="30">
        <v>110.66625</v>
      </c>
      <c r="H440" s="30">
        <v>775</v>
      </c>
      <c r="I440" s="30">
        <v>395.25</v>
      </c>
      <c r="J440" s="30">
        <f t="shared" si="51"/>
        <v>256.53375</v>
      </c>
      <c r="K440" s="36">
        <v>0.732107843137255</v>
      </c>
      <c r="L440" s="36">
        <v>0.26789215686274515</v>
      </c>
      <c r="M440" s="95"/>
    </row>
    <row r="441" spans="1:13" ht="12.75">
      <c r="A441" s="88">
        <v>2003</v>
      </c>
      <c r="B441" s="188">
        <v>0.3248975</v>
      </c>
      <c r="C441" s="892">
        <v>0.533</v>
      </c>
      <c r="D441" s="115">
        <f t="shared" si="49"/>
        <v>0.059222222222222225</v>
      </c>
      <c r="E441" s="115">
        <f t="shared" si="50"/>
        <v>0.1488802777777778</v>
      </c>
      <c r="F441" s="30">
        <v>795</v>
      </c>
      <c r="G441" s="30">
        <v>118.35982083333334</v>
      </c>
      <c r="H441" s="30">
        <v>799</v>
      </c>
      <c r="I441" s="30">
        <v>425.867</v>
      </c>
      <c r="J441" s="30">
        <f t="shared" si="51"/>
        <v>258.2935125</v>
      </c>
      <c r="K441" s="36">
        <v>0.720674900979779</v>
      </c>
      <c r="L441" s="36">
        <v>0.27932509902022096</v>
      </c>
      <c r="M441" s="95"/>
    </row>
    <row r="442" spans="1:13" ht="12.75">
      <c r="A442" s="88">
        <v>2004</v>
      </c>
      <c r="B442" s="188">
        <v>0.3299658333333333</v>
      </c>
      <c r="C442" s="892">
        <v>0.557</v>
      </c>
      <c r="D442" s="115">
        <f t="shared" si="49"/>
        <v>0.061888888888888896</v>
      </c>
      <c r="E442" s="115">
        <f t="shared" si="50"/>
        <v>0.16514527777777788</v>
      </c>
      <c r="F442" s="30">
        <v>841</v>
      </c>
      <c r="G442" s="30">
        <v>138.88717861111118</v>
      </c>
      <c r="H442" s="30">
        <v>803</v>
      </c>
      <c r="I442" s="30">
        <v>447.271</v>
      </c>
      <c r="J442" s="30">
        <f t="shared" si="51"/>
        <v>277.5012658333333</v>
      </c>
      <c r="K442" s="36">
        <v>0.7035093756233791</v>
      </c>
      <c r="L442" s="36">
        <v>0.29649062437662094</v>
      </c>
      <c r="M442" s="95"/>
    </row>
    <row r="443" spans="1:13" ht="12.75">
      <c r="A443" s="88">
        <v>2005</v>
      </c>
      <c r="B443" s="188">
        <v>0.33858916666666666</v>
      </c>
      <c r="C443" s="892">
        <v>0.589</v>
      </c>
      <c r="D443" s="115">
        <f t="shared" si="49"/>
        <v>0.06544444444444444</v>
      </c>
      <c r="E443" s="115">
        <f t="shared" si="50"/>
        <v>0.18496638888888886</v>
      </c>
      <c r="F443" s="30">
        <v>889</v>
      </c>
      <c r="G443" s="30">
        <v>164.4351197222222</v>
      </c>
      <c r="H443" s="30">
        <v>834</v>
      </c>
      <c r="I443" s="30">
        <v>491.226</v>
      </c>
      <c r="J443" s="30">
        <f t="shared" si="51"/>
        <v>301.00576916666665</v>
      </c>
      <c r="K443" s="36">
        <v>0.6859653838898322</v>
      </c>
      <c r="L443" s="36">
        <v>0.31403461611016786</v>
      </c>
      <c r="M443" s="95"/>
    </row>
    <row r="444" spans="1:13" ht="12.75">
      <c r="A444" s="88">
        <v>2006</v>
      </c>
      <c r="B444" s="188">
        <v>0.35026666666666667</v>
      </c>
      <c r="C444" s="892">
        <v>0.608</v>
      </c>
      <c r="D444" s="115">
        <f t="shared" si="49"/>
        <v>0.06755555555555555</v>
      </c>
      <c r="E444" s="115">
        <f t="shared" si="50"/>
        <v>0.19017777777777778</v>
      </c>
      <c r="F444" s="30">
        <v>879</v>
      </c>
      <c r="G444" s="30">
        <v>167.16626666666667</v>
      </c>
      <c r="H444" s="30">
        <v>835.68</v>
      </c>
      <c r="I444" s="30">
        <v>508.09343999999993</v>
      </c>
      <c r="J444" s="30">
        <f t="shared" si="51"/>
        <v>307.8844</v>
      </c>
      <c r="K444" s="36">
        <v>0.6872076023391813</v>
      </c>
      <c r="L444" s="36">
        <v>0.31279239766081873</v>
      </c>
      <c r="M444" s="95"/>
    </row>
    <row r="445" spans="1:13" ht="12.75">
      <c r="A445" s="88">
        <v>2007</v>
      </c>
      <c r="B445" s="604">
        <v>0.3620183333333333</v>
      </c>
      <c r="C445" s="892">
        <v>0.64</v>
      </c>
      <c r="D445" s="115">
        <f t="shared" si="49"/>
        <v>0.07111111111111111</v>
      </c>
      <c r="E445" s="115">
        <f t="shared" si="50"/>
        <v>0.2068705555555556</v>
      </c>
      <c r="F445" s="30">
        <v>904</v>
      </c>
      <c r="G445" s="30">
        <v>187.01098222222228</v>
      </c>
      <c r="H445" s="30">
        <v>837</v>
      </c>
      <c r="I445" s="30">
        <v>535.68</v>
      </c>
      <c r="J445" s="30">
        <f t="shared" si="51"/>
        <v>327.26457333333326</v>
      </c>
      <c r="K445" s="36">
        <v>0.6767647569444444</v>
      </c>
      <c r="L445" s="36">
        <v>0.3232352430555556</v>
      </c>
      <c r="M445" s="95"/>
    </row>
    <row r="446" spans="1:13" ht="12.75">
      <c r="A446" s="88">
        <v>2008</v>
      </c>
      <c r="B446" s="604">
        <v>0.36827</v>
      </c>
      <c r="C446" s="892">
        <v>0.65</v>
      </c>
      <c r="D446" s="115">
        <f>C446/9</f>
        <v>0.07222222222222223</v>
      </c>
      <c r="E446" s="115">
        <f t="shared" si="50"/>
        <v>0.2095077777777778</v>
      </c>
      <c r="F446" s="30">
        <v>870</v>
      </c>
      <c r="G446" s="30"/>
      <c r="H446" s="30">
        <v>810</v>
      </c>
      <c r="I446" s="30"/>
      <c r="J446" s="30">
        <f t="shared" si="51"/>
        <v>320.3949</v>
      </c>
      <c r="K446" s="36"/>
      <c r="L446" s="36">
        <v>0.3232352430555556</v>
      </c>
      <c r="M446" s="95"/>
    </row>
    <row r="447" spans="1:13" ht="13.5">
      <c r="A447" s="88">
        <v>2009</v>
      </c>
      <c r="B447" s="604">
        <v>0.38693</v>
      </c>
      <c r="C447" s="892">
        <v>0.683</v>
      </c>
      <c r="D447" s="115">
        <f>C447/9</f>
        <v>0.0758888888888889</v>
      </c>
      <c r="E447" s="115">
        <f t="shared" si="50"/>
        <v>0.22018111111111116</v>
      </c>
      <c r="F447" s="30">
        <v>856</v>
      </c>
      <c r="G447" s="30">
        <f>E447*F447</f>
        <v>188.47503111111115</v>
      </c>
      <c r="H447" s="30">
        <v>824.7</v>
      </c>
      <c r="I447" s="759">
        <v>563.3</v>
      </c>
      <c r="J447" s="30">
        <f t="shared" si="51"/>
        <v>331.21208</v>
      </c>
      <c r="K447" s="36">
        <f>(B447+D447)/C447</f>
        <v>0.6776264844639661</v>
      </c>
      <c r="L447" s="36">
        <f>0.29</f>
        <v>0.29</v>
      </c>
      <c r="M447" s="95"/>
    </row>
    <row r="448" spans="1:13" ht="12.75">
      <c r="A448" s="88">
        <v>2010</v>
      </c>
      <c r="B448" s="604">
        <f>(0.39285*4+0.494*8)/12</f>
        <v>0.4602833333333333</v>
      </c>
      <c r="C448" s="892">
        <v>0.81</v>
      </c>
      <c r="D448" s="115">
        <f>C448*(9/9+3*0.13)/12</f>
        <v>0.093825</v>
      </c>
      <c r="E448" s="115">
        <f t="shared" si="50"/>
        <v>0.25589166666666674</v>
      </c>
      <c r="F448" s="30">
        <v>770.666</v>
      </c>
      <c r="G448" s="30">
        <f>E448*F448</f>
        <v>197.20700718333342</v>
      </c>
      <c r="H448" s="30">
        <f>F448</f>
        <v>770.666</v>
      </c>
      <c r="I448" s="30">
        <f>F448*C448</f>
        <v>624.2394600000001</v>
      </c>
      <c r="J448" s="30">
        <f t="shared" si="51"/>
        <v>354.72471536666666</v>
      </c>
      <c r="K448" s="36">
        <f>(B448+D448)/C448</f>
        <v>0.6840843621399176</v>
      </c>
      <c r="L448" s="36">
        <f>E448/C448</f>
        <v>0.31591563786008237</v>
      </c>
      <c r="M448" s="95"/>
    </row>
    <row r="449" spans="1:13" ht="12.75">
      <c r="A449" s="88">
        <v>2011</v>
      </c>
      <c r="B449" s="604">
        <v>0.54351</v>
      </c>
      <c r="C449" s="892">
        <v>0.973</v>
      </c>
      <c r="D449" s="115">
        <f>C449*15/115</f>
        <v>0.12691304347826085</v>
      </c>
      <c r="E449" s="115">
        <f t="shared" si="50"/>
        <v>0.3025769565217391</v>
      </c>
      <c r="F449" s="30">
        <v>640</v>
      </c>
      <c r="G449" s="30">
        <f>E449*H449</f>
        <v>193.64925217391303</v>
      </c>
      <c r="H449" s="30">
        <f>F449</f>
        <v>640</v>
      </c>
      <c r="I449" s="30">
        <f>H449*C449</f>
        <v>622.72</v>
      </c>
      <c r="J449" s="30">
        <f t="shared" si="51"/>
        <v>347.8464</v>
      </c>
      <c r="K449" s="36">
        <f>(B449+D449)/C449</f>
        <v>0.689026766164708</v>
      </c>
      <c r="L449" s="36">
        <f>E449/C449</f>
        <v>0.310973233835292</v>
      </c>
      <c r="M449" s="95"/>
    </row>
    <row r="450" spans="1:13" ht="12.75">
      <c r="A450" s="88">
        <v>2012</v>
      </c>
      <c r="B450" s="604">
        <v>0.63</v>
      </c>
      <c r="C450" s="892">
        <v>1.058</v>
      </c>
      <c r="D450" s="115">
        <f>C450*15/115</f>
        <v>0.138</v>
      </c>
      <c r="E450" s="974">
        <f>C450-B450-D450</f>
        <v>0.29000000000000004</v>
      </c>
      <c r="F450" s="174">
        <f>H450</f>
        <v>587</v>
      </c>
      <c r="G450" s="30">
        <f>E450*H450</f>
        <v>170.23000000000002</v>
      </c>
      <c r="H450" s="30">
        <v>587</v>
      </c>
      <c r="I450" s="39">
        <f>H450*C450</f>
        <v>621.046</v>
      </c>
      <c r="J450" s="39">
        <f>B450*H450</f>
        <v>369.81</v>
      </c>
      <c r="K450" s="36">
        <f>(B450+D450)/C450</f>
        <v>0.7258979206049149</v>
      </c>
      <c r="L450" s="36">
        <f>E450/C450</f>
        <v>0.2741020793950851</v>
      </c>
      <c r="M450" s="95"/>
    </row>
    <row r="451" spans="1:13" ht="12.75">
      <c r="A451" s="89" t="s">
        <v>796</v>
      </c>
      <c r="B451" s="90">
        <f>B450/B433</f>
        <v>5.959982971477225</v>
      </c>
      <c r="C451" s="90">
        <f aca="true" t="shared" si="52" ref="C451:L451">C450/C433</f>
        <v>5.848535102266446</v>
      </c>
      <c r="D451" s="90">
        <f t="shared" si="52"/>
        <v>6.865671641791045</v>
      </c>
      <c r="E451" s="90">
        <f t="shared" si="52"/>
        <v>5.263635538615119</v>
      </c>
      <c r="F451" s="90">
        <f t="shared" si="52"/>
        <v>0.9750830564784053</v>
      </c>
      <c r="G451" s="90">
        <f t="shared" si="52"/>
        <v>5.03500168641845</v>
      </c>
      <c r="H451" s="90">
        <f t="shared" si="52"/>
        <v>0.9750830564784053</v>
      </c>
      <c r="I451" s="90">
        <f t="shared" si="52"/>
        <v>5.665227203482443</v>
      </c>
      <c r="J451" s="90">
        <f t="shared" si="52"/>
        <v>5.8114784123872605</v>
      </c>
      <c r="K451" s="90">
        <f t="shared" si="52"/>
        <v>1.0496090256513506</v>
      </c>
      <c r="L451" s="90">
        <f t="shared" si="52"/>
        <v>0.8887554736239722</v>
      </c>
      <c r="M451" s="95"/>
    </row>
    <row r="452" spans="1:13" ht="12.75">
      <c r="A452" t="s">
        <v>21</v>
      </c>
      <c r="B452" s="3" t="s">
        <v>138</v>
      </c>
      <c r="C452" s="99"/>
      <c r="D452" s="99"/>
      <c r="E452" s="99"/>
      <c r="F452" s="99"/>
      <c r="G452" s="99"/>
      <c r="H452" s="36"/>
      <c r="I452" s="36"/>
      <c r="J452" s="4"/>
      <c r="K452" s="4"/>
      <c r="L452" s="4"/>
      <c r="M452" s="95"/>
    </row>
    <row r="453" spans="2:13" ht="12.75">
      <c r="B453" s="26" t="s">
        <v>166</v>
      </c>
      <c r="C453" s="99"/>
      <c r="D453" s="99"/>
      <c r="E453" s="99"/>
      <c r="F453" s="99" t="s">
        <v>137</v>
      </c>
      <c r="G453" s="99"/>
      <c r="H453" s="36"/>
      <c r="I453" s="36"/>
      <c r="J453" s="4"/>
      <c r="K453" s="4"/>
      <c r="L453" s="4"/>
      <c r="M453" s="95"/>
    </row>
    <row r="454" spans="2:13" ht="12.75">
      <c r="B454" t="s">
        <v>666</v>
      </c>
      <c r="M454" s="95"/>
    </row>
    <row r="455" spans="2:13" ht="12.75">
      <c r="B455" t="s">
        <v>829</v>
      </c>
      <c r="M455" s="95"/>
    </row>
    <row r="456" ht="12.75">
      <c r="M456" s="95"/>
    </row>
    <row r="457" ht="12.75">
      <c r="M457" s="95"/>
    </row>
    <row r="458" ht="12.75">
      <c r="M458" s="95"/>
    </row>
    <row r="459" spans="1:13" ht="15.75">
      <c r="A459" s="70" t="s">
        <v>832</v>
      </c>
      <c r="B459" s="70"/>
      <c r="C459" s="70"/>
      <c r="D459" s="70"/>
      <c r="E459" s="70"/>
      <c r="F459" s="70"/>
      <c r="G459" s="70"/>
      <c r="H459" s="100"/>
      <c r="I459" s="100"/>
      <c r="M459" s="95"/>
    </row>
    <row r="460" spans="1:13" ht="13.5">
      <c r="A460" s="74"/>
      <c r="B460" s="75" t="s">
        <v>466</v>
      </c>
      <c r="C460" s="75" t="s">
        <v>122</v>
      </c>
      <c r="D460" s="96" t="s">
        <v>70</v>
      </c>
      <c r="E460" s="102" t="s">
        <v>123</v>
      </c>
      <c r="F460" s="75" t="s">
        <v>72</v>
      </c>
      <c r="G460" s="75" t="s">
        <v>73</v>
      </c>
      <c r="H460" s="76" t="s">
        <v>74</v>
      </c>
      <c r="I460" s="76" t="s">
        <v>147</v>
      </c>
      <c r="J460" s="76" t="s">
        <v>75</v>
      </c>
      <c r="K460" s="76" t="s">
        <v>133</v>
      </c>
      <c r="L460" s="76" t="s">
        <v>134</v>
      </c>
      <c r="M460" s="95"/>
    </row>
    <row r="461" spans="1:13" ht="13.5">
      <c r="A461" s="77"/>
      <c r="B461" s="78" t="s">
        <v>4</v>
      </c>
      <c r="C461" s="103" t="s">
        <v>4</v>
      </c>
      <c r="D461" s="79" t="s">
        <v>76</v>
      </c>
      <c r="E461" s="78" t="s">
        <v>4</v>
      </c>
      <c r="F461" s="78" t="s">
        <v>77</v>
      </c>
      <c r="G461" s="79" t="s">
        <v>78</v>
      </c>
      <c r="H461" s="79" t="s">
        <v>26</v>
      </c>
      <c r="I461" s="79" t="s">
        <v>148</v>
      </c>
      <c r="J461" s="104" t="s">
        <v>79</v>
      </c>
      <c r="K461" s="38" t="s">
        <v>131</v>
      </c>
      <c r="L461" s="38" t="s">
        <v>135</v>
      </c>
      <c r="M461" s="95"/>
    </row>
    <row r="462" spans="1:13" ht="13.5">
      <c r="A462" s="80"/>
      <c r="B462" s="81" t="s">
        <v>80</v>
      </c>
      <c r="C462" s="82" t="s">
        <v>121</v>
      </c>
      <c r="D462" s="81" t="s">
        <v>80</v>
      </c>
      <c r="E462" s="81" t="s">
        <v>80</v>
      </c>
      <c r="F462" s="82" t="s">
        <v>19</v>
      </c>
      <c r="G462" s="82" t="s">
        <v>120</v>
      </c>
      <c r="H462" s="81" t="s">
        <v>7</v>
      </c>
      <c r="I462" s="81" t="s">
        <v>146</v>
      </c>
      <c r="J462" s="105" t="s">
        <v>120</v>
      </c>
      <c r="K462" s="83" t="s">
        <v>132</v>
      </c>
      <c r="L462" s="83" t="s">
        <v>136</v>
      </c>
      <c r="M462" s="95"/>
    </row>
    <row r="463" spans="1:13" ht="12.75">
      <c r="A463" s="106" t="s">
        <v>5</v>
      </c>
      <c r="B463" s="86" t="s">
        <v>10</v>
      </c>
      <c r="C463" s="86" t="s">
        <v>11</v>
      </c>
      <c r="D463" s="86" t="s">
        <v>12</v>
      </c>
      <c r="E463" s="86" t="s">
        <v>13</v>
      </c>
      <c r="F463" s="86" t="s">
        <v>16</v>
      </c>
      <c r="G463" s="86" t="s">
        <v>14</v>
      </c>
      <c r="H463" s="86" t="s">
        <v>17</v>
      </c>
      <c r="I463" s="86" t="s">
        <v>15</v>
      </c>
      <c r="J463" s="107" t="s">
        <v>18</v>
      </c>
      <c r="K463" s="98" t="s">
        <v>83</v>
      </c>
      <c r="L463" s="98" t="s">
        <v>84</v>
      </c>
      <c r="M463" s="95"/>
    </row>
    <row r="464" spans="1:13" ht="12.75">
      <c r="A464" s="108">
        <v>1990</v>
      </c>
      <c r="B464" s="135">
        <v>0.11458865252406206</v>
      </c>
      <c r="C464" s="757">
        <f aca="true" t="shared" si="53" ref="C464:C481">(C433*H433+C394*H394)/H464</f>
        <v>0.20770526419171087</v>
      </c>
      <c r="D464" s="109">
        <v>0.023946489447609073</v>
      </c>
      <c r="E464" s="109">
        <v>0.07698326305681052</v>
      </c>
      <c r="F464" s="111">
        <v>5091</v>
      </c>
      <c r="G464" s="111">
        <v>391.9217922222222</v>
      </c>
      <c r="H464" s="112">
        <v>5091</v>
      </c>
      <c r="I464" s="112">
        <v>1097.2042000000001</v>
      </c>
      <c r="J464" s="114">
        <f aca="true" t="shared" si="54" ref="J464:J473">J394+J433</f>
        <v>583.37083</v>
      </c>
      <c r="K464" s="45">
        <v>0.6427995880600691</v>
      </c>
      <c r="L464" s="45">
        <v>0.3572004119399309</v>
      </c>
      <c r="M464" s="95"/>
    </row>
    <row r="465" spans="1:13" ht="12.75">
      <c r="A465" s="113">
        <v>1996</v>
      </c>
      <c r="B465" s="757">
        <v>0.16473176393392</v>
      </c>
      <c r="C465" s="757">
        <f t="shared" si="53"/>
        <v>0.2916716945557388</v>
      </c>
      <c r="D465" s="110">
        <v>0.03237779836343986</v>
      </c>
      <c r="E465" s="110">
        <v>0.09429062297359887</v>
      </c>
      <c r="F465" s="114">
        <v>4318</v>
      </c>
      <c r="G465" s="114">
        <v>407.14690999999993</v>
      </c>
      <c r="H465" s="114">
        <v>4243</v>
      </c>
      <c r="I465" s="114">
        <v>1236.410986104678</v>
      </c>
      <c r="J465" s="114">
        <f t="shared" si="54"/>
        <v>711.3117566666666</v>
      </c>
      <c r="K465" s="36">
        <v>0.6764222270966553</v>
      </c>
      <c r="L465" s="36">
        <v>0.3235777729033448</v>
      </c>
      <c r="M465" s="95"/>
    </row>
    <row r="466" spans="1:15" ht="12.75">
      <c r="A466" s="113">
        <v>1997</v>
      </c>
      <c r="B466" s="757">
        <v>0.17019829466634775</v>
      </c>
      <c r="C466" s="757">
        <f t="shared" si="53"/>
        <v>0.3041857962697274</v>
      </c>
      <c r="D466" s="110">
        <v>0.03383367881155491</v>
      </c>
      <c r="E466" s="110">
        <v>0.10047113582609155</v>
      </c>
      <c r="F466" s="114">
        <v>4181</v>
      </c>
      <c r="G466" s="114">
        <v>420.0698188888888</v>
      </c>
      <c r="H466" s="114">
        <v>4182</v>
      </c>
      <c r="I466" s="114">
        <v>1273.4320031093039</v>
      </c>
      <c r="J466" s="114">
        <f t="shared" si="54"/>
        <v>711.59907</v>
      </c>
      <c r="K466" s="36">
        <v>0.6700489001385259</v>
      </c>
      <c r="L466" s="36">
        <v>0.3299510998614741</v>
      </c>
      <c r="M466" s="95"/>
      <c r="N466" s="1216"/>
      <c r="O466" s="1216"/>
    </row>
    <row r="467" spans="1:15" ht="12.75">
      <c r="A467" s="113">
        <v>1998</v>
      </c>
      <c r="B467" s="757">
        <v>0.1893314081191265</v>
      </c>
      <c r="C467" s="757">
        <f t="shared" si="53"/>
        <v>0.3206258706467662</v>
      </c>
      <c r="D467" s="110">
        <v>0.03567758701722374</v>
      </c>
      <c r="E467" s="110">
        <v>0.09608928801866343</v>
      </c>
      <c r="F467" s="114">
        <v>4019</v>
      </c>
      <c r="G467" s="114">
        <v>386.18284854700846</v>
      </c>
      <c r="H467" s="114">
        <v>4020</v>
      </c>
      <c r="I467" s="114">
        <v>1290.8150982831548</v>
      </c>
      <c r="J467" s="114">
        <f t="shared" si="54"/>
        <v>760.9229292307693</v>
      </c>
      <c r="K467" s="36">
        <v>0.700748047997892</v>
      </c>
      <c r="L467" s="36">
        <v>0.29925195200210797</v>
      </c>
      <c r="M467" s="95"/>
      <c r="N467" s="1216"/>
      <c r="O467" s="1216"/>
    </row>
    <row r="468" spans="1:15" ht="12.75">
      <c r="A468" s="113">
        <v>1999</v>
      </c>
      <c r="B468" s="757">
        <v>0.20277699481193256</v>
      </c>
      <c r="C468" s="757">
        <f t="shared" si="53"/>
        <v>0.3442193680965836</v>
      </c>
      <c r="D468" s="110">
        <v>0.0383101887880098</v>
      </c>
      <c r="E468" s="110">
        <v>0.10370451549214582</v>
      </c>
      <c r="F468" s="114">
        <v>3855</v>
      </c>
      <c r="G468" s="114">
        <v>399.78090722222225</v>
      </c>
      <c r="H468" s="114">
        <v>3893</v>
      </c>
      <c r="I468" s="114">
        <v>1342.2740845654994</v>
      </c>
      <c r="J468" s="114">
        <f t="shared" si="54"/>
        <v>781.705315</v>
      </c>
      <c r="K468" s="36">
        <v>0.6992256026893268</v>
      </c>
      <c r="L468" s="36">
        <v>0.30077439731067324</v>
      </c>
      <c r="M468" s="95"/>
      <c r="N468" s="1216"/>
      <c r="O468" s="1216"/>
    </row>
    <row r="469" spans="1:13" ht="12.75">
      <c r="A469" s="113">
        <v>2000</v>
      </c>
      <c r="B469" s="757">
        <v>0.23636179311712166</v>
      </c>
      <c r="C469" s="757">
        <f t="shared" si="53"/>
        <v>0.3941566995073892</v>
      </c>
      <c r="D469" s="110">
        <v>0.043787607201491496</v>
      </c>
      <c r="E469" s="110">
        <v>0.11393906449481031</v>
      </c>
      <c r="F469" s="114">
        <v>3993</v>
      </c>
      <c r="G469" s="114">
        <v>454.9586845277777</v>
      </c>
      <c r="H469" s="114">
        <v>3451</v>
      </c>
      <c r="I469" s="114">
        <v>1359.9992920711243</v>
      </c>
      <c r="J469" s="114">
        <f t="shared" si="54"/>
        <v>943.7926399166668</v>
      </c>
      <c r="K469" s="36">
        <v>0.7108794733467942</v>
      </c>
      <c r="L469" s="36">
        <v>0.2891205266532057</v>
      </c>
      <c r="M469" s="95"/>
    </row>
    <row r="470" spans="1:13" ht="12.75">
      <c r="A470" s="113">
        <v>2001</v>
      </c>
      <c r="B470" s="757">
        <v>0.2617802636757182</v>
      </c>
      <c r="C470" s="757">
        <f t="shared" si="53"/>
        <v>0.4349310344827586</v>
      </c>
      <c r="D470" s="110">
        <v>0.04837098255280073</v>
      </c>
      <c r="E470" s="110">
        <v>0.12518759674668764</v>
      </c>
      <c r="F470" s="114">
        <v>3388</v>
      </c>
      <c r="G470" s="114">
        <v>424.1355777777778</v>
      </c>
      <c r="H470" s="114">
        <v>3248</v>
      </c>
      <c r="I470" s="114">
        <v>1413.980561983471</v>
      </c>
      <c r="J470" s="114">
        <f t="shared" si="54"/>
        <v>886.9115333333333</v>
      </c>
      <c r="K470" s="36">
        <v>0.712436418741947</v>
      </c>
      <c r="L470" s="36">
        <v>0.2875635812580531</v>
      </c>
      <c r="M470" s="95"/>
    </row>
    <row r="471" spans="1:13" ht="12.75">
      <c r="A471" s="113">
        <v>2002</v>
      </c>
      <c r="B471" s="757">
        <v>0.2675901157981803</v>
      </c>
      <c r="C471" s="757">
        <f t="shared" si="53"/>
        <v>0.4561650774731824</v>
      </c>
      <c r="D471" s="110">
        <v>0.05062586159360352</v>
      </c>
      <c r="E471" s="110">
        <v>0.13741677695064788</v>
      </c>
      <c r="F471" s="114">
        <v>3627</v>
      </c>
      <c r="G471" s="114">
        <v>498.41065000000003</v>
      </c>
      <c r="H471" s="114">
        <v>3356</v>
      </c>
      <c r="I471" s="114">
        <v>1529.1035235732008</v>
      </c>
      <c r="J471" s="114">
        <f t="shared" si="54"/>
        <v>970.54935</v>
      </c>
      <c r="K471" s="36">
        <v>0.6984045250456863</v>
      </c>
      <c r="L471" s="36">
        <v>0.3015954749543138</v>
      </c>
      <c r="M471" s="95"/>
    </row>
    <row r="472" spans="1:13" ht="12.75">
      <c r="A472" s="113">
        <v>2003</v>
      </c>
      <c r="B472" s="757">
        <v>0.2762481143263757</v>
      </c>
      <c r="C472" s="757">
        <f t="shared" si="53"/>
        <v>0.46876907216494845</v>
      </c>
      <c r="D472" s="110">
        <v>0.05223550495467004</v>
      </c>
      <c r="E472" s="110">
        <v>0.14163592531098462</v>
      </c>
      <c r="F472" s="114">
        <v>3162</v>
      </c>
      <c r="G472" s="114">
        <v>447.8527958333334</v>
      </c>
      <c r="H472" s="114">
        <v>3395</v>
      </c>
      <c r="I472" s="114">
        <v>1596.0558538899431</v>
      </c>
      <c r="J472" s="114">
        <f t="shared" si="54"/>
        <v>873.4965374999999</v>
      </c>
      <c r="K472" s="36">
        <v>0.6987235971354983</v>
      </c>
      <c r="L472" s="36">
        <v>0.30127640286450175</v>
      </c>
      <c r="M472" s="95"/>
    </row>
    <row r="473" spans="1:13" ht="12.75">
      <c r="A473" s="113">
        <v>2004</v>
      </c>
      <c r="B473" s="757">
        <v>0.2815260779816514</v>
      </c>
      <c r="C473" s="757">
        <f t="shared" si="53"/>
        <v>0.4818784301212508</v>
      </c>
      <c r="D473" s="110">
        <v>0.053652395514780835</v>
      </c>
      <c r="E473" s="110">
        <v>0.14769308613659535</v>
      </c>
      <c r="F473" s="114">
        <v>3161</v>
      </c>
      <c r="G473" s="114">
        <v>466.85784527777787</v>
      </c>
      <c r="H473" s="114">
        <v>3134</v>
      </c>
      <c r="I473" s="114">
        <v>1513.3194678899085</v>
      </c>
      <c r="J473" s="114">
        <f t="shared" si="54"/>
        <v>889.9039325000001</v>
      </c>
      <c r="K473" s="36">
        <v>0.6941358769424337</v>
      </c>
      <c r="L473" s="36">
        <v>0.3058641230575664</v>
      </c>
      <c r="M473" s="95"/>
    </row>
    <row r="474" spans="1:13" ht="12.75">
      <c r="A474" s="113">
        <v>2005</v>
      </c>
      <c r="B474" s="757">
        <v>0.2889729140350877</v>
      </c>
      <c r="C474" s="757">
        <f t="shared" si="53"/>
        <v>0.4961599873777217</v>
      </c>
      <c r="D474" s="110">
        <v>0.05518760233918128</v>
      </c>
      <c r="E474" s="110">
        <v>0.1525279046783626</v>
      </c>
      <c r="F474" s="114">
        <v>3325</v>
      </c>
      <c r="G474" s="114">
        <v>507.1552830555556</v>
      </c>
      <c r="H474" s="114">
        <v>3169</v>
      </c>
      <c r="I474" s="114">
        <v>1574.0056063157897</v>
      </c>
      <c r="J474" s="114">
        <v>945</v>
      </c>
      <c r="K474" s="36">
        <v>0.6929102869861345</v>
      </c>
      <c r="L474" s="36">
        <v>0.30708971301386545</v>
      </c>
      <c r="M474" s="95"/>
    </row>
    <row r="475" spans="1:13" ht="12.75">
      <c r="A475" s="113">
        <v>2006</v>
      </c>
      <c r="B475" s="757">
        <v>0.29877176612417117</v>
      </c>
      <c r="C475" s="757">
        <f t="shared" si="53"/>
        <v>0.5157904874312549</v>
      </c>
      <c r="D475" s="110">
        <v>0.05734609202330722</v>
      </c>
      <c r="E475" s="110">
        <v>0.15999697006228653</v>
      </c>
      <c r="F475" s="114">
        <v>3318</v>
      </c>
      <c r="G475" s="114">
        <v>530.8699466666667</v>
      </c>
      <c r="H475" s="114">
        <v>3185.68</v>
      </c>
      <c r="I475" s="114">
        <v>1644.1766859312838</v>
      </c>
      <c r="J475" s="114">
        <v>976</v>
      </c>
      <c r="K475" s="36">
        <v>0.6899973391245816</v>
      </c>
      <c r="L475" s="36">
        <v>0.3100026608754183</v>
      </c>
      <c r="M475" s="95"/>
    </row>
    <row r="476" spans="1:13" ht="12.75">
      <c r="A476" s="113">
        <v>2007</v>
      </c>
      <c r="B476" s="757">
        <v>0.30915892754055935</v>
      </c>
      <c r="C476" s="757">
        <f t="shared" si="53"/>
        <v>0.538311222885885</v>
      </c>
      <c r="D476" s="110">
        <v>0.059916724727115886</v>
      </c>
      <c r="E476" s="110">
        <v>0.17017487027636774</v>
      </c>
      <c r="F476" s="114">
        <v>3349</v>
      </c>
      <c r="G476" s="114">
        <v>569.9156405555556</v>
      </c>
      <c r="H476" s="114">
        <v>3181</v>
      </c>
      <c r="I476" s="114">
        <v>1715.355912212601</v>
      </c>
      <c r="J476" s="114">
        <v>1002</v>
      </c>
      <c r="K476" s="36">
        <v>0.6844233558207283</v>
      </c>
      <c r="L476" s="36">
        <f aca="true" t="shared" si="55" ref="L476:L481">E476/C476</f>
        <v>0.31612729410332696</v>
      </c>
      <c r="M476" s="95"/>
    </row>
    <row r="477" spans="1:13" ht="12.75">
      <c r="A477" s="113">
        <v>2008</v>
      </c>
      <c r="B477" s="757">
        <f>(B407*$F407+B446*$F446)/$F477</f>
        <v>0.31335552631578945</v>
      </c>
      <c r="C477" s="757">
        <f t="shared" si="53"/>
        <v>0.5479634971282705</v>
      </c>
      <c r="D477" s="110">
        <f>C477/9</f>
        <v>0.06088483301425228</v>
      </c>
      <c r="E477" s="110">
        <f>C477-B477-D477</f>
        <v>0.1737231377982288</v>
      </c>
      <c r="F477" s="114">
        <v>3420</v>
      </c>
      <c r="G477" s="114"/>
      <c r="H477" s="114">
        <f>H407+H446</f>
        <v>3134</v>
      </c>
      <c r="I477" s="114"/>
      <c r="J477" s="114">
        <v>1001</v>
      </c>
      <c r="K477" s="36">
        <f>(B477+D477)/C477</f>
        <v>0.6829658568341411</v>
      </c>
      <c r="L477" s="36">
        <f t="shared" si="55"/>
        <v>0.3170341431658588</v>
      </c>
      <c r="M477" s="95"/>
    </row>
    <row r="478" spans="1:16" ht="12.75">
      <c r="A478" s="113">
        <v>2009</v>
      </c>
      <c r="B478" s="757">
        <f>(B408*$F408+B447*$F447)/$F478</f>
        <v>0.3296706804374241</v>
      </c>
      <c r="C478" s="757">
        <f t="shared" si="53"/>
        <v>0.5681075665437145</v>
      </c>
      <c r="D478" s="110">
        <f>(D408*$F408+D447*$F447)/$F478</f>
        <v>0.06306264344538949</v>
      </c>
      <c r="E478" s="110">
        <f>(E408*$F408+E447*$F447)/$F478</f>
        <v>0.17483046712569195</v>
      </c>
      <c r="F478" s="114">
        <f aca="true" t="shared" si="56" ref="F478:G480">F408+F447</f>
        <v>3292</v>
      </c>
      <c r="G478" s="114">
        <f t="shared" si="56"/>
        <v>575.5418977777779</v>
      </c>
      <c r="H478" s="114">
        <f>H408+H447</f>
        <v>3129.6720000000005</v>
      </c>
      <c r="I478" s="114">
        <f>I408+I447</f>
        <v>1777.51</v>
      </c>
      <c r="J478" s="114">
        <v>1096</v>
      </c>
      <c r="K478" s="36">
        <f>(B478+D478)/C478</f>
        <v>0.691300991240351</v>
      </c>
      <c r="L478" s="36">
        <f t="shared" si="55"/>
        <v>0.3077418387319423</v>
      </c>
      <c r="M478" s="95"/>
      <c r="N478" s="749"/>
      <c r="O478" s="749"/>
      <c r="P478" s="757"/>
    </row>
    <row r="479" spans="1:16" ht="12.75">
      <c r="A479" s="113">
        <v>2010</v>
      </c>
      <c r="B479" s="757">
        <f>(B409*$F409+B448*$F448)/$F479</f>
        <v>0.36746741875109645</v>
      </c>
      <c r="C479" s="757">
        <f t="shared" si="53"/>
        <v>0.6392687983211767</v>
      </c>
      <c r="D479" s="110">
        <f>(D409*$F409+D448*$F448)/$F479</f>
        <v>0.07404863580553628</v>
      </c>
      <c r="E479" s="110">
        <f>(E409*$F409+E448*$F448)/$F479</f>
        <v>0.19775274376454383</v>
      </c>
      <c r="F479" s="114">
        <f t="shared" si="56"/>
        <v>2990.666</v>
      </c>
      <c r="G479" s="114">
        <f t="shared" si="56"/>
        <v>591.4124071833332</v>
      </c>
      <c r="H479" s="114">
        <f>H409+H448</f>
        <v>2990.666</v>
      </c>
      <c r="I479" s="114">
        <f>I409+I448</f>
        <v>1911.8394600000001</v>
      </c>
      <c r="J479" s="114">
        <v>1149</v>
      </c>
      <c r="K479" s="36">
        <f>(B479+D479)/C479</f>
        <v>0.6906579137228742</v>
      </c>
      <c r="L479" s="36">
        <f t="shared" si="55"/>
        <v>0.30934208627712556</v>
      </c>
      <c r="M479" s="95"/>
      <c r="N479" s="749"/>
      <c r="O479" s="749"/>
      <c r="P479" s="757"/>
    </row>
    <row r="480" spans="1:16" ht="12.75">
      <c r="A480" s="113">
        <v>2011</v>
      </c>
      <c r="B480" s="757">
        <f>(B410*$F410+B449*$F449)/$F480</f>
        <v>0.4230203452074917</v>
      </c>
      <c r="C480" s="757">
        <f t="shared" si="53"/>
        <v>0.7412155710613295</v>
      </c>
      <c r="D480" s="757">
        <f>C480*0.13</f>
        <v>0.09635802423797284</v>
      </c>
      <c r="E480" s="110">
        <v>0.184</v>
      </c>
      <c r="F480" s="114">
        <f t="shared" si="56"/>
        <v>2723</v>
      </c>
      <c r="G480" s="114">
        <f t="shared" si="56"/>
        <v>603.1851652173913</v>
      </c>
      <c r="H480" s="114">
        <f>H410+H449</f>
        <v>2723</v>
      </c>
      <c r="I480" s="114">
        <f>I410+I449</f>
        <v>2018.3300000000002</v>
      </c>
      <c r="J480" s="114">
        <v>1269</v>
      </c>
      <c r="K480" s="36">
        <f>(B480+D480)/C480</f>
        <v>0.7007116279300213</v>
      </c>
      <c r="L480" s="36">
        <f t="shared" si="55"/>
        <v>0.2482408724044135</v>
      </c>
      <c r="M480" s="95"/>
      <c r="N480" s="749"/>
      <c r="O480" s="749"/>
      <c r="P480" s="757"/>
    </row>
    <row r="481" spans="1:16" ht="12.75">
      <c r="A481" s="113">
        <v>2012</v>
      </c>
      <c r="B481" s="757">
        <f>(B411*$F411+B450*$F450)/$F481</f>
        <v>0.48438504336917937</v>
      </c>
      <c r="C481" s="757">
        <f t="shared" si="53"/>
        <v>0.7915556112712644</v>
      </c>
      <c r="D481" s="757">
        <f>C481*0.13</f>
        <v>0.10290222946526438</v>
      </c>
      <c r="E481" s="110">
        <v>0.184</v>
      </c>
      <c r="F481" s="114">
        <f>F411+H450</f>
        <v>2603.65429</v>
      </c>
      <c r="G481" s="114">
        <f>G411+G450</f>
        <v>530.948076046087</v>
      </c>
      <c r="H481" s="114">
        <f>H411+H450</f>
        <v>2603.65429</v>
      </c>
      <c r="I481" s="114">
        <f>I411+I450</f>
        <v>2074.395890795238</v>
      </c>
      <c r="J481" s="114">
        <v>1251</v>
      </c>
      <c r="K481" s="36">
        <f>(B481+D481)/C481</f>
        <v>0.7419406349621361</v>
      </c>
      <c r="L481" s="36">
        <f t="shared" si="55"/>
        <v>0.232453661347293</v>
      </c>
      <c r="M481" s="95"/>
      <c r="N481" s="749"/>
      <c r="O481" s="749"/>
      <c r="P481" s="757"/>
    </row>
    <row r="482" spans="1:15" ht="12.75">
      <c r="A482" s="116" t="s">
        <v>796</v>
      </c>
      <c r="B482" s="117">
        <f>(B481-B464)/B464</f>
        <v>3.227164144961606</v>
      </c>
      <c r="C482" s="117">
        <f aca="true" t="shared" si="57" ref="C482:L482">(C481-C464)/C464</f>
        <v>2.810955944480361</v>
      </c>
      <c r="D482" s="117">
        <f t="shared" si="57"/>
        <v>3.2971739006002236</v>
      </c>
      <c r="E482" s="117">
        <f t="shared" si="57"/>
        <v>1.3901299151766984</v>
      </c>
      <c r="F482" s="117">
        <f t="shared" si="57"/>
        <v>-0.48857703987428797</v>
      </c>
      <c r="G482" s="117">
        <f t="shared" si="57"/>
        <v>0.3547296592914025</v>
      </c>
      <c r="H482" s="117">
        <f t="shared" si="57"/>
        <v>-0.48857703987428797</v>
      </c>
      <c r="I482" s="117">
        <f t="shared" si="57"/>
        <v>0.8906197139923795</v>
      </c>
      <c r="J482" s="117">
        <f t="shared" si="57"/>
        <v>1.1444335843806248</v>
      </c>
      <c r="K482" s="117">
        <f t="shared" si="57"/>
        <v>0.1542332147431345</v>
      </c>
      <c r="L482" s="117">
        <f t="shared" si="57"/>
        <v>-0.3492346213016577</v>
      </c>
      <c r="M482" s="95"/>
      <c r="N482" s="749"/>
      <c r="O482" s="749"/>
    </row>
    <row r="483" spans="2:15" ht="12.75">
      <c r="B483" s="119" t="s">
        <v>641</v>
      </c>
      <c r="C483" s="119"/>
      <c r="D483" s="119"/>
      <c r="E483" s="119"/>
      <c r="F483" s="119"/>
      <c r="G483" s="119"/>
      <c r="H483" s="120"/>
      <c r="I483" s="121"/>
      <c r="J483" s="122"/>
      <c r="K483" s="122"/>
      <c r="M483" s="95"/>
      <c r="N483" s="749"/>
      <c r="O483" s="749"/>
    </row>
    <row r="484" spans="1:15" ht="12.75">
      <c r="A484" s="118"/>
      <c r="B484" s="119" t="s">
        <v>830</v>
      </c>
      <c r="C484" s="119"/>
      <c r="D484" s="119"/>
      <c r="E484" s="119"/>
      <c r="F484" s="119"/>
      <c r="G484" s="119"/>
      <c r="H484" s="120"/>
      <c r="I484" s="121"/>
      <c r="J484" s="122"/>
      <c r="K484" s="122"/>
      <c r="L484" s="122"/>
      <c r="M484" s="95"/>
      <c r="N484" s="749"/>
      <c r="O484" s="749"/>
    </row>
    <row r="485" spans="2:15" ht="12.75">
      <c r="B485" s="757" t="s">
        <v>831</v>
      </c>
      <c r="C485" s="757"/>
      <c r="D485" s="110"/>
      <c r="E485" s="114"/>
      <c r="F485" s="114"/>
      <c r="G485" s="114"/>
      <c r="H485" s="114"/>
      <c r="I485" s="114"/>
      <c r="J485" s="36"/>
      <c r="K485" s="36"/>
      <c r="N485" s="749"/>
      <c r="O485" s="749"/>
    </row>
    <row r="486" spans="1:15" ht="15.75">
      <c r="A486" s="125" t="s">
        <v>828</v>
      </c>
      <c r="B486" s="126"/>
      <c r="C486" s="126"/>
      <c r="D486" s="127"/>
      <c r="E486" s="128"/>
      <c r="F486" s="129"/>
      <c r="G486" s="130"/>
      <c r="H486" s="130"/>
      <c r="I486" s="130"/>
      <c r="J486" s="124"/>
      <c r="K486" s="124"/>
      <c r="L486" s="124"/>
      <c r="M486" s="95"/>
      <c r="N486" s="749"/>
      <c r="O486" s="749"/>
    </row>
    <row r="487" spans="1:15" ht="13.5">
      <c r="A487" s="74"/>
      <c r="B487" s="75" t="s">
        <v>68</v>
      </c>
      <c r="C487" s="75" t="s">
        <v>69</v>
      </c>
      <c r="D487" s="96" t="s">
        <v>70</v>
      </c>
      <c r="E487" s="102" t="s">
        <v>123</v>
      </c>
      <c r="F487" s="75" t="s">
        <v>72</v>
      </c>
      <c r="G487" s="75" t="s">
        <v>73</v>
      </c>
      <c r="H487" s="76" t="s">
        <v>74</v>
      </c>
      <c r="I487" s="76" t="s">
        <v>26</v>
      </c>
      <c r="J487" s="76" t="s">
        <v>75</v>
      </c>
      <c r="K487" s="131" t="s">
        <v>147</v>
      </c>
      <c r="L487" s="755" t="s">
        <v>139</v>
      </c>
      <c r="M487" s="1091"/>
      <c r="N487" s="749"/>
      <c r="O487" s="749"/>
    </row>
    <row r="488" spans="1:15" ht="13.5">
      <c r="A488" s="77"/>
      <c r="B488" s="78" t="s">
        <v>4</v>
      </c>
      <c r="C488" s="103" t="s">
        <v>4</v>
      </c>
      <c r="D488" s="79" t="s">
        <v>76</v>
      </c>
      <c r="E488" s="78" t="s">
        <v>4</v>
      </c>
      <c r="F488" s="78" t="s">
        <v>77</v>
      </c>
      <c r="G488" s="79" t="s">
        <v>78</v>
      </c>
      <c r="H488" s="79" t="s">
        <v>26</v>
      </c>
      <c r="I488" s="79" t="s">
        <v>153</v>
      </c>
      <c r="J488" s="38" t="s">
        <v>79</v>
      </c>
      <c r="K488" s="132" t="s">
        <v>152</v>
      </c>
      <c r="L488" t="s">
        <v>571</v>
      </c>
      <c r="M488" s="95"/>
      <c r="N488" s="749"/>
      <c r="O488" s="749"/>
    </row>
    <row r="489" spans="1:15" ht="13.5">
      <c r="A489" s="80"/>
      <c r="B489" s="81" t="s">
        <v>80</v>
      </c>
      <c r="C489" s="82" t="s">
        <v>121</v>
      </c>
      <c r="D489" s="81" t="s">
        <v>80</v>
      </c>
      <c r="E489" s="81" t="s">
        <v>80</v>
      </c>
      <c r="F489" s="82" t="s">
        <v>19</v>
      </c>
      <c r="G489" s="82" t="s">
        <v>120</v>
      </c>
      <c r="H489" s="81" t="s">
        <v>151</v>
      </c>
      <c r="I489" s="81" t="s">
        <v>149</v>
      </c>
      <c r="J489" s="83" t="s">
        <v>82</v>
      </c>
      <c r="K489" s="105" t="s">
        <v>82</v>
      </c>
      <c r="L489" t="s">
        <v>572</v>
      </c>
      <c r="M489" s="95"/>
      <c r="N489" s="749"/>
      <c r="O489" s="749"/>
    </row>
    <row r="490" spans="1:15" ht="12.75">
      <c r="A490" s="133" t="s">
        <v>647</v>
      </c>
      <c r="B490" s="86" t="s">
        <v>10</v>
      </c>
      <c r="C490" s="86" t="s">
        <v>11</v>
      </c>
      <c r="D490" s="86" t="s">
        <v>12</v>
      </c>
      <c r="E490" s="86" t="s">
        <v>13</v>
      </c>
      <c r="F490" s="86" t="s">
        <v>16</v>
      </c>
      <c r="G490" s="86" t="s">
        <v>14</v>
      </c>
      <c r="H490" s="134" t="s">
        <v>9</v>
      </c>
      <c r="I490" s="134" t="s">
        <v>17</v>
      </c>
      <c r="J490" s="98" t="s">
        <v>15</v>
      </c>
      <c r="K490" s="98" t="s">
        <v>18</v>
      </c>
      <c r="M490" s="95"/>
      <c r="N490" s="749"/>
      <c r="O490" s="749"/>
    </row>
    <row r="491" spans="1:15" ht="12.75">
      <c r="A491" s="108">
        <v>1990</v>
      </c>
      <c r="B491" s="757">
        <f aca="true" t="shared" si="58" ref="B491:E503">B464*1000/$L491</f>
        <v>0.18430983931457948</v>
      </c>
      <c r="C491" s="110">
        <f t="shared" si="58"/>
        <v>0.33408302676329826</v>
      </c>
      <c r="D491" s="110">
        <f t="shared" si="58"/>
        <v>0.03851667268109563</v>
      </c>
      <c r="E491" s="110">
        <f t="shared" si="58"/>
        <v>0.12382354213418559</v>
      </c>
      <c r="F491" s="136">
        <v>5091</v>
      </c>
      <c r="G491" s="110">
        <f aca="true" t="shared" si="59" ref="G491:G503">G464*1000/$L491</f>
        <v>630.3856530051386</v>
      </c>
      <c r="H491" s="136">
        <v>5091</v>
      </c>
      <c r="I491" s="114">
        <f aca="true" t="shared" si="60" ref="I491:J503">I464*1000/$L491</f>
        <v>1764.7954255751208</v>
      </c>
      <c r="J491" s="114">
        <f t="shared" si="60"/>
        <v>938.3213919505241</v>
      </c>
      <c r="K491" s="114">
        <f aca="true" t="shared" si="61" ref="K491:K503">C491*F491</f>
        <v>1700.8166892519514</v>
      </c>
      <c r="L491" s="754">
        <v>621.7175</v>
      </c>
      <c r="M491" s="95"/>
      <c r="N491" s="749"/>
      <c r="O491" s="749"/>
    </row>
    <row r="492" spans="1:23" ht="12.75">
      <c r="A492" s="113">
        <v>1996</v>
      </c>
      <c r="B492" s="757">
        <f t="shared" si="58"/>
        <v>0.23374921567419038</v>
      </c>
      <c r="C492" s="110">
        <f t="shared" si="58"/>
        <v>0.41387300304824454</v>
      </c>
      <c r="D492" s="110">
        <f t="shared" si="58"/>
        <v>0.04594308220815914</v>
      </c>
      <c r="E492" s="110">
        <f t="shared" si="58"/>
        <v>0.13379544199108276</v>
      </c>
      <c r="F492" s="136">
        <v>4318</v>
      </c>
      <c r="G492" s="110">
        <f t="shared" si="59"/>
        <v>577.7287185174953</v>
      </c>
      <c r="H492" s="136">
        <v>4243</v>
      </c>
      <c r="I492" s="114">
        <f t="shared" si="60"/>
        <v>1754.4284802829732</v>
      </c>
      <c r="J492" s="114">
        <f t="shared" si="60"/>
        <v>1009.329113281154</v>
      </c>
      <c r="K492" s="114">
        <f t="shared" si="61"/>
        <v>1787.10362716232</v>
      </c>
      <c r="L492" s="756">
        <v>704.7371836469824</v>
      </c>
      <c r="M492" s="95"/>
      <c r="N492" s="749"/>
      <c r="O492" s="749"/>
      <c r="V492" s="1217"/>
      <c r="W492" s="114"/>
    </row>
    <row r="493" spans="1:23" ht="12.75">
      <c r="A493" s="113">
        <v>1997</v>
      </c>
      <c r="B493" s="757">
        <f t="shared" si="58"/>
        <v>0.23867245721226374</v>
      </c>
      <c r="C493" s="110">
        <f t="shared" si="58"/>
        <v>0.4265657983653099</v>
      </c>
      <c r="D493" s="110">
        <f t="shared" si="58"/>
        <v>0.047445641416764245</v>
      </c>
      <c r="E493" s="110">
        <f t="shared" si="58"/>
        <v>0.14089267412185022</v>
      </c>
      <c r="F493" s="114">
        <v>4181</v>
      </c>
      <c r="G493" s="110">
        <f t="shared" si="59"/>
        <v>589.0722705034559</v>
      </c>
      <c r="H493" s="114">
        <v>4182</v>
      </c>
      <c r="I493" s="114">
        <f t="shared" si="60"/>
        <v>1785.7590516441726</v>
      </c>
      <c r="J493" s="114">
        <f t="shared" si="60"/>
        <v>997.8895436044747</v>
      </c>
      <c r="K493" s="114">
        <f t="shared" si="61"/>
        <v>1783.4716029653607</v>
      </c>
      <c r="L493" s="756">
        <v>713.1040449924292</v>
      </c>
      <c r="N493" s="757"/>
      <c r="O493" s="757"/>
      <c r="R493" s="549"/>
      <c r="S493" s="166"/>
      <c r="V493" s="1217"/>
      <c r="W493" s="114"/>
    </row>
    <row r="494" spans="1:23" ht="12.75">
      <c r="A494" s="113">
        <v>1998</v>
      </c>
      <c r="B494" s="757">
        <f t="shared" si="58"/>
        <v>0.26218520840364296</v>
      </c>
      <c r="C494" s="110">
        <f t="shared" si="58"/>
        <v>0.4440011382698299</v>
      </c>
      <c r="D494" s="110">
        <f t="shared" si="58"/>
        <v>0.04940614808909219</v>
      </c>
      <c r="E494" s="110">
        <f t="shared" si="58"/>
        <v>0.13306397630909447</v>
      </c>
      <c r="F494" s="114">
        <v>4019</v>
      </c>
      <c r="G494" s="110">
        <f t="shared" si="59"/>
        <v>534.7841207862509</v>
      </c>
      <c r="H494" s="114">
        <v>4020</v>
      </c>
      <c r="I494" s="114">
        <f t="shared" si="60"/>
        <v>1787.5144378633552</v>
      </c>
      <c r="J494" s="114">
        <f t="shared" si="60"/>
        <v>1053.7223525742413</v>
      </c>
      <c r="K494" s="114">
        <f t="shared" si="61"/>
        <v>1784.4405747064463</v>
      </c>
      <c r="L494" s="756">
        <v>722.1284879948086</v>
      </c>
      <c r="N494" s="749"/>
      <c r="O494" s="749"/>
      <c r="R494" s="549"/>
      <c r="S494" s="166"/>
      <c r="V494" s="1217"/>
      <c r="W494" s="114"/>
    </row>
    <row r="495" spans="1:23" ht="12.75">
      <c r="A495" s="113">
        <v>1999</v>
      </c>
      <c r="B495" s="757">
        <f t="shared" si="58"/>
        <v>0.2811245867616998</v>
      </c>
      <c r="C495" s="110">
        <f t="shared" si="58"/>
        <v>0.47721649934340127</v>
      </c>
      <c r="D495" s="110">
        <f t="shared" si="58"/>
        <v>0.053112218187179656</v>
      </c>
      <c r="E495" s="110">
        <f t="shared" si="58"/>
        <v>0.14377315873573746</v>
      </c>
      <c r="F495" s="114">
        <v>3855</v>
      </c>
      <c r="G495" s="110">
        <f t="shared" si="59"/>
        <v>554.245526926268</v>
      </c>
      <c r="H495" s="114">
        <v>3893</v>
      </c>
      <c r="I495" s="114">
        <f t="shared" si="60"/>
        <v>1860.8927886242138</v>
      </c>
      <c r="J495" s="114">
        <f t="shared" si="60"/>
        <v>1083.7352819663529</v>
      </c>
      <c r="K495" s="114">
        <f t="shared" si="61"/>
        <v>1839.6696049688119</v>
      </c>
      <c r="L495" s="756">
        <v>721.3065109236427</v>
      </c>
      <c r="N495" s="749"/>
      <c r="O495" s="749"/>
      <c r="R495" s="549"/>
      <c r="S495" s="166"/>
      <c r="V495" s="1217"/>
      <c r="W495" s="114"/>
    </row>
    <row r="496" spans="1:23" ht="12.75">
      <c r="A496" s="113">
        <v>2000</v>
      </c>
      <c r="B496" s="757">
        <f t="shared" si="58"/>
        <v>0.3193350194577279</v>
      </c>
      <c r="C496" s="110">
        <f t="shared" si="58"/>
        <v>0.5325227721733181</v>
      </c>
      <c r="D496" s="110">
        <f t="shared" si="58"/>
        <v>0.05915895379405435</v>
      </c>
      <c r="E496" s="110">
        <f t="shared" si="58"/>
        <v>0.1539366108947069</v>
      </c>
      <c r="F496" s="114">
        <v>3993</v>
      </c>
      <c r="G496" s="110">
        <f t="shared" si="59"/>
        <v>614.6688873025647</v>
      </c>
      <c r="H496" s="114">
        <v>3451</v>
      </c>
      <c r="I496" s="114">
        <f t="shared" si="60"/>
        <v>1837.417945889534</v>
      </c>
      <c r="J496" s="114">
        <f t="shared" si="60"/>
        <v>1275.1047326947075</v>
      </c>
      <c r="K496" s="114">
        <f t="shared" si="61"/>
        <v>2126.3634292880593</v>
      </c>
      <c r="L496" s="756">
        <v>740.1687216093446</v>
      </c>
      <c r="P496" s="1102"/>
      <c r="Q496" s="1102"/>
      <c r="R496" s="549"/>
      <c r="S496" s="166"/>
      <c r="V496" s="1217"/>
      <c r="W496" s="114"/>
    </row>
    <row r="497" spans="1:23" ht="12.75">
      <c r="A497" s="113">
        <v>2001</v>
      </c>
      <c r="B497" s="757">
        <f t="shared" si="58"/>
        <v>0.34462819621967095</v>
      </c>
      <c r="C497" s="110">
        <f t="shared" si="58"/>
        <v>0.5725775342614257</v>
      </c>
      <c r="D497" s="110">
        <f t="shared" si="58"/>
        <v>0.06367937839345654</v>
      </c>
      <c r="E497" s="110">
        <f t="shared" si="58"/>
        <v>0.16480683092798148</v>
      </c>
      <c r="F497" s="114">
        <v>3388</v>
      </c>
      <c r="G497" s="110">
        <f t="shared" si="59"/>
        <v>558.3655431840014</v>
      </c>
      <c r="H497" s="114">
        <v>3248</v>
      </c>
      <c r="I497" s="114">
        <f t="shared" si="60"/>
        <v>1861.475589197522</v>
      </c>
      <c r="J497" s="114">
        <f t="shared" si="60"/>
        <v>1167.6003287922451</v>
      </c>
      <c r="K497" s="114">
        <f t="shared" si="61"/>
        <v>1939.89268607771</v>
      </c>
      <c r="L497" s="756">
        <v>759.6019900497513</v>
      </c>
      <c r="R497" s="549"/>
      <c r="S497" s="166"/>
      <c r="V497" s="1217"/>
      <c r="W497" s="114"/>
    </row>
    <row r="498" spans="1:23" ht="12.75">
      <c r="A498" s="113">
        <v>2002</v>
      </c>
      <c r="B498" s="757">
        <f t="shared" si="58"/>
        <v>0.34309279499200906</v>
      </c>
      <c r="C498" s="110">
        <f t="shared" si="58"/>
        <v>0.5848756817537308</v>
      </c>
      <c r="D498" s="110">
        <f t="shared" si="58"/>
        <v>0.0649103510464797</v>
      </c>
      <c r="E498" s="110">
        <f t="shared" si="58"/>
        <v>0.1761900133798286</v>
      </c>
      <c r="F498" s="114">
        <v>3627</v>
      </c>
      <c r="G498" s="110">
        <f t="shared" si="59"/>
        <v>639.0411785286385</v>
      </c>
      <c r="H498" s="114">
        <v>3356</v>
      </c>
      <c r="I498" s="114">
        <f t="shared" si="60"/>
        <v>1960.5522430078731</v>
      </c>
      <c r="J498" s="114">
        <f t="shared" si="60"/>
        <v>1244.3975674360167</v>
      </c>
      <c r="K498" s="114">
        <f t="shared" si="61"/>
        <v>2121.3440977207815</v>
      </c>
      <c r="L498" s="756">
        <v>779.935107073329</v>
      </c>
      <c r="R498" s="100"/>
      <c r="S498" s="166"/>
      <c r="V498" s="1217"/>
      <c r="W498" s="114"/>
    </row>
    <row r="499" spans="1:23" ht="12.75">
      <c r="A499" s="113">
        <v>2003</v>
      </c>
      <c r="B499" s="757">
        <f t="shared" si="58"/>
        <v>0.3480885263434167</v>
      </c>
      <c r="C499" s="110">
        <f t="shared" si="58"/>
        <v>0.5906760157373794</v>
      </c>
      <c r="D499" s="110">
        <f t="shared" si="58"/>
        <v>0.06581974319286528</v>
      </c>
      <c r="E499" s="110">
        <f t="shared" si="58"/>
        <v>0.17846941919950554</v>
      </c>
      <c r="F499" s="114">
        <v>3162</v>
      </c>
      <c r="G499" s="110">
        <f t="shared" si="59"/>
        <v>564.3203035088366</v>
      </c>
      <c r="H499" s="114">
        <v>3395</v>
      </c>
      <c r="I499" s="114">
        <f t="shared" si="60"/>
        <v>2011.1222532579989</v>
      </c>
      <c r="J499" s="114">
        <f t="shared" si="60"/>
        <v>1100.6559202978838</v>
      </c>
      <c r="K499" s="114">
        <f t="shared" si="61"/>
        <v>1867.7175617615935</v>
      </c>
      <c r="L499" s="756">
        <v>793.6145360155743</v>
      </c>
      <c r="P499" s="123"/>
      <c r="Q499" s="123"/>
      <c r="R499" s="100"/>
      <c r="S499" s="166"/>
      <c r="V499" s="1217"/>
      <c r="W499" s="114"/>
    </row>
    <row r="500" spans="1:23" ht="12.75">
      <c r="A500" s="113">
        <v>2004</v>
      </c>
      <c r="B500" s="757">
        <f t="shared" si="58"/>
        <v>0.34679531098695804</v>
      </c>
      <c r="C500" s="110">
        <f t="shared" si="58"/>
        <v>0.5935975140558665</v>
      </c>
      <c r="D500" s="110">
        <f t="shared" si="58"/>
        <v>0.06609121016830409</v>
      </c>
      <c r="E500" s="110">
        <f t="shared" si="58"/>
        <v>0.18193437035947485</v>
      </c>
      <c r="F500" s="114">
        <v>3161</v>
      </c>
      <c r="G500" s="110">
        <f t="shared" si="59"/>
        <v>575.0945447062999</v>
      </c>
      <c r="H500" s="114">
        <v>3134</v>
      </c>
      <c r="I500" s="114">
        <f t="shared" si="60"/>
        <v>1864.1686740071855</v>
      </c>
      <c r="J500" s="114">
        <f t="shared" si="60"/>
        <v>1096.2199780297742</v>
      </c>
      <c r="K500" s="114">
        <f t="shared" si="61"/>
        <v>1876.361741930594</v>
      </c>
      <c r="L500" s="756">
        <v>811.7932078736751</v>
      </c>
      <c r="P500" s="123"/>
      <c r="Q500" s="123"/>
      <c r="R500" s="100"/>
      <c r="S500" s="166"/>
      <c r="V500" s="1217"/>
      <c r="W500" s="114"/>
    </row>
    <row r="501" spans="1:23" ht="12.75">
      <c r="A501" s="113">
        <v>2005</v>
      </c>
      <c r="B501" s="757">
        <f t="shared" si="58"/>
        <v>0.34547795162617156</v>
      </c>
      <c r="C501" s="110">
        <f t="shared" si="58"/>
        <v>0.5931778647507053</v>
      </c>
      <c r="D501" s="110">
        <f t="shared" si="58"/>
        <v>0.06597884744652925</v>
      </c>
      <c r="E501" s="110">
        <f t="shared" si="58"/>
        <v>0.18235282794606253</v>
      </c>
      <c r="F501" s="114">
        <v>3325</v>
      </c>
      <c r="G501" s="110">
        <f t="shared" si="59"/>
        <v>606.3231529206579</v>
      </c>
      <c r="H501" s="114">
        <v>3169</v>
      </c>
      <c r="I501" s="114">
        <f t="shared" si="60"/>
        <v>1881.7827080224615</v>
      </c>
      <c r="J501" s="114">
        <f t="shared" si="60"/>
        <v>1129.7829257696126</v>
      </c>
      <c r="K501" s="114">
        <f t="shared" si="61"/>
        <v>1972.3164002960953</v>
      </c>
      <c r="L501" s="756">
        <v>836.4438676184296</v>
      </c>
      <c r="P501" s="123"/>
      <c r="Q501" s="123"/>
      <c r="R501" s="100"/>
      <c r="S501" s="166"/>
      <c r="V501" s="1217"/>
      <c r="W501" s="114"/>
    </row>
    <row r="502" spans="1:23" ht="12.75">
      <c r="A502" s="113">
        <v>2006</v>
      </c>
      <c r="B502" s="757">
        <f t="shared" si="58"/>
        <v>0.3455611839741517</v>
      </c>
      <c r="C502" s="110">
        <f t="shared" si="58"/>
        <v>0.5965663149217149</v>
      </c>
      <c r="D502" s="110">
        <f t="shared" si="58"/>
        <v>0.06632682770844157</v>
      </c>
      <c r="E502" s="110">
        <f t="shared" si="58"/>
        <v>0.18505343769338076</v>
      </c>
      <c r="F502" s="114">
        <v>3318</v>
      </c>
      <c r="G502" s="110">
        <f t="shared" si="59"/>
        <v>614.0073062666373</v>
      </c>
      <c r="H502" s="114">
        <v>3185.68</v>
      </c>
      <c r="I502" s="114">
        <f t="shared" si="60"/>
        <v>1901.6644364480528</v>
      </c>
      <c r="J502" s="114">
        <f t="shared" si="60"/>
        <v>1128.8473470368074</v>
      </c>
      <c r="K502" s="114">
        <f t="shared" si="61"/>
        <v>1979.4070329102499</v>
      </c>
      <c r="L502" s="756">
        <v>864.5987454034176</v>
      </c>
      <c r="P502" s="123"/>
      <c r="Q502" s="123"/>
      <c r="R502" s="100"/>
      <c r="S502" s="166"/>
      <c r="V502" s="1217"/>
      <c r="W502" s="114"/>
    </row>
    <row r="503" spans="1:23" ht="12.75">
      <c r="A503" s="113">
        <v>2007</v>
      </c>
      <c r="B503" s="757">
        <f t="shared" si="58"/>
        <v>0.3492770581671569</v>
      </c>
      <c r="C503" s="110">
        <f t="shared" si="58"/>
        <v>0.6081653918380856</v>
      </c>
      <c r="D503" s="110">
        <f t="shared" si="58"/>
        <v>0.06769184223202755</v>
      </c>
      <c r="E503" s="110">
        <f t="shared" si="58"/>
        <v>0.19225767968906354</v>
      </c>
      <c r="F503" s="114">
        <v>3349</v>
      </c>
      <c r="G503" s="110">
        <f t="shared" si="59"/>
        <v>643.8709692786739</v>
      </c>
      <c r="H503" s="114">
        <v>3181</v>
      </c>
      <c r="I503" s="114">
        <f t="shared" si="60"/>
        <v>1937.949751260717</v>
      </c>
      <c r="J503" s="114">
        <f t="shared" si="60"/>
        <v>1132.024926686217</v>
      </c>
      <c r="K503" s="114">
        <f t="shared" si="61"/>
        <v>2036.7458972657487</v>
      </c>
      <c r="L503" s="756">
        <v>885.1395197923426</v>
      </c>
      <c r="P503" s="123"/>
      <c r="Q503" s="123"/>
      <c r="R503" s="100"/>
      <c r="S503" s="166"/>
      <c r="V503" s="1217"/>
      <c r="W503" s="114"/>
    </row>
    <row r="504" spans="1:23" ht="12.75">
      <c r="A504" s="113">
        <v>2008</v>
      </c>
      <c r="B504" s="757">
        <f>B477*1000/$L504</f>
        <v>0.3405365769059461</v>
      </c>
      <c r="C504" s="110">
        <v>0.59</v>
      </c>
      <c r="D504" s="110">
        <f>C504/9</f>
        <v>0.06555555555555555</v>
      </c>
      <c r="E504" s="110">
        <f>E477*1000/$L504</f>
        <v>0.1887922111051273</v>
      </c>
      <c r="F504" s="114">
        <v>3420</v>
      </c>
      <c r="G504" s="110"/>
      <c r="H504" s="114">
        <f>H477</f>
        <v>3134</v>
      </c>
      <c r="I504" s="114"/>
      <c r="J504" s="114">
        <f>J477*1000/$L504</f>
        <v>1087.8286318758815</v>
      </c>
      <c r="K504" s="114"/>
      <c r="L504" s="756">
        <v>920.1817001946788</v>
      </c>
      <c r="P504" s="123"/>
      <c r="Q504" s="123"/>
      <c r="R504" s="100"/>
      <c r="S504" s="166"/>
      <c r="V504" s="1217"/>
      <c r="W504" s="114"/>
    </row>
    <row r="505" spans="1:23" ht="12.75">
      <c r="A505" s="113">
        <v>2009</v>
      </c>
      <c r="B505" s="757">
        <f>B478*1000/$L505</f>
        <v>0.35084428076938573</v>
      </c>
      <c r="C505" s="110">
        <f aca="true" t="shared" si="62" ref="C505:D508">C478*1000/$L505</f>
        <v>0.6045951381518397</v>
      </c>
      <c r="D505" s="110">
        <f t="shared" si="62"/>
        <v>0.06711293753407818</v>
      </c>
      <c r="E505" s="110">
        <f>E478*1000/$L505</f>
        <v>0.18605921950323984</v>
      </c>
      <c r="F505" s="114">
        <f>F478</f>
        <v>3292</v>
      </c>
      <c r="G505" s="110">
        <f>G478*1000/$L505</f>
        <v>612.5069506046655</v>
      </c>
      <c r="H505" s="114">
        <f>H478</f>
        <v>3129.6720000000005</v>
      </c>
      <c r="I505" s="114">
        <f>I478*1000/$L505</f>
        <v>1891.6732803867403</v>
      </c>
      <c r="J505" s="114">
        <f>J478*1000/$L505</f>
        <v>1166.3922651933701</v>
      </c>
      <c r="K505" s="114">
        <f>C505*F505</f>
        <v>1990.3271947958565</v>
      </c>
      <c r="L505" s="756">
        <v>939.6495781959767</v>
      </c>
      <c r="P505" s="123"/>
      <c r="Q505" s="123"/>
      <c r="R505" s="100"/>
      <c r="S505" s="166"/>
      <c r="V505" s="1217"/>
      <c r="W505" s="114"/>
    </row>
    <row r="506" spans="1:23" ht="12.75">
      <c r="A506" s="113">
        <v>2010</v>
      </c>
      <c r="B506" s="757">
        <f>B479*1000/$L506</f>
        <v>0.38226864916433817</v>
      </c>
      <c r="C506" s="110">
        <f t="shared" si="62"/>
        <v>0.6650179240861386</v>
      </c>
      <c r="D506" s="110">
        <f t="shared" si="62"/>
        <v>0.07703124287331103</v>
      </c>
      <c r="E506" s="110">
        <f>E479*1000/$L506</f>
        <v>0.20571803204848924</v>
      </c>
      <c r="F506" s="114">
        <f>H506</f>
        <v>2990.666</v>
      </c>
      <c r="G506" s="110">
        <f>G479*1000/$L506</f>
        <v>615.2339240343272</v>
      </c>
      <c r="H506" s="114">
        <f>H479</f>
        <v>2990.666</v>
      </c>
      <c r="I506" s="114">
        <f>I479*1000/$L506</f>
        <v>1988.8464949549957</v>
      </c>
      <c r="J506" s="114">
        <f>J479*1000/$L506</f>
        <v>1195.280603060306</v>
      </c>
      <c r="K506" s="114">
        <f>C506*F506</f>
        <v>1988.846494954996</v>
      </c>
      <c r="L506" s="756">
        <v>961.2805537529742</v>
      </c>
      <c r="P506" s="123"/>
      <c r="Q506" s="123"/>
      <c r="R506" s="100"/>
      <c r="S506" s="166"/>
      <c r="V506" s="1217"/>
      <c r="W506" s="114"/>
    </row>
    <row r="507" spans="1:22" ht="12.75">
      <c r="A507" s="113">
        <v>2011</v>
      </c>
      <c r="B507" s="757">
        <f>B480*1000/$L507</f>
        <v>0.4230203452074917</v>
      </c>
      <c r="C507" s="110">
        <f t="shared" si="62"/>
        <v>0.7412155710613295</v>
      </c>
      <c r="D507" s="110">
        <f t="shared" si="62"/>
        <v>0.09635802423797284</v>
      </c>
      <c r="E507" s="110">
        <f>E480*1000/$L507</f>
        <v>0.184</v>
      </c>
      <c r="F507" s="114">
        <f>H507</f>
        <v>2723</v>
      </c>
      <c r="G507" s="110">
        <f>G480*1000/$L507</f>
        <v>603.1851652173912</v>
      </c>
      <c r="H507" s="114">
        <f>H480</f>
        <v>2723</v>
      </c>
      <c r="I507" s="114">
        <f>I480*1000/$L507</f>
        <v>2018.3300000000002</v>
      </c>
      <c r="J507" s="114">
        <f>J480*1000/$L507</f>
        <v>1269</v>
      </c>
      <c r="K507" s="114">
        <f>C507*F507</f>
        <v>2018.3300000000002</v>
      </c>
      <c r="L507" s="756">
        <v>1000</v>
      </c>
      <c r="P507" s="123"/>
      <c r="Q507" s="123"/>
      <c r="R507" s="100"/>
      <c r="S507" s="166"/>
      <c r="V507" s="1217"/>
    </row>
    <row r="508" spans="1:23" ht="12.75">
      <c r="A508" s="113">
        <v>2012</v>
      </c>
      <c r="B508" s="757">
        <f>B481*1000/$L508</f>
        <v>0.47911478078059283</v>
      </c>
      <c r="C508" s="110">
        <f t="shared" si="62"/>
        <v>0.7829432356787976</v>
      </c>
      <c r="D508" s="110">
        <f t="shared" si="62"/>
        <v>0.1017826206382437</v>
      </c>
      <c r="E508" s="110">
        <f>E481*1000/$L508</f>
        <v>0.18199802176063304</v>
      </c>
      <c r="F508" s="114">
        <f>H508</f>
        <v>2603.65429</v>
      </c>
      <c r="G508" s="110">
        <f>G481*1000/$L508</f>
        <v>525.1711929239239</v>
      </c>
      <c r="H508" s="114">
        <f>H481</f>
        <v>2603.65429</v>
      </c>
      <c r="I508" s="114">
        <f>I481*1000/$L508</f>
        <v>2051.8258069191274</v>
      </c>
      <c r="J508" s="114">
        <f>J481*1000/$L508</f>
        <v>1237.3887240356082</v>
      </c>
      <c r="K508" s="114">
        <f>C508*F508</f>
        <v>2038.5135144015826</v>
      </c>
      <c r="L508" s="756">
        <v>1011</v>
      </c>
      <c r="P508" s="123"/>
      <c r="Q508" s="123"/>
      <c r="R508" s="100"/>
      <c r="S508" s="166"/>
      <c r="V508" s="1217"/>
      <c r="W508" s="101"/>
    </row>
    <row r="509" spans="1:17" ht="12.75">
      <c r="A509" s="137" t="s">
        <v>729</v>
      </c>
      <c r="B509" s="68">
        <f>(B508-B507)/B507</f>
        <v>0.132604580863804</v>
      </c>
      <c r="C509" s="68">
        <f aca="true" t="shared" si="63" ref="C509:K509">(C508-C507)/C507</f>
        <v>0.05629626015238623</v>
      </c>
      <c r="D509" s="68">
        <f t="shared" si="63"/>
        <v>0.056296260152386285</v>
      </c>
      <c r="E509" s="68">
        <f t="shared" si="63"/>
        <v>-0.010880316518298686</v>
      </c>
      <c r="F509" s="68">
        <f t="shared" si="63"/>
        <v>-0.04382875872199782</v>
      </c>
      <c r="G509" s="68">
        <f t="shared" si="63"/>
        <v>-0.12933668928238753</v>
      </c>
      <c r="H509" s="68">
        <f t="shared" si="63"/>
        <v>-0.04382875872199782</v>
      </c>
      <c r="I509" s="68">
        <f t="shared" si="63"/>
        <v>0.016595802925749154</v>
      </c>
      <c r="J509" s="68">
        <f t="shared" si="63"/>
        <v>-0.02491038295066334</v>
      </c>
      <c r="K509" s="68">
        <f t="shared" si="63"/>
        <v>0.010000106227218761</v>
      </c>
      <c r="L509" s="68"/>
      <c r="P509" s="123"/>
      <c r="Q509" s="123"/>
    </row>
    <row r="510" spans="1:16" ht="12.75">
      <c r="A510" s="975" t="s">
        <v>660</v>
      </c>
      <c r="B510" s="511">
        <f>(B508-B506)/B506</f>
        <v>0.2533457342839022</v>
      </c>
      <c r="C510" s="511">
        <f aca="true" t="shared" si="64" ref="C510:K510">(C508-C506)/C506</f>
        <v>0.1773265160555047</v>
      </c>
      <c r="D510" s="511">
        <f t="shared" si="64"/>
        <v>0.321316089961574</v>
      </c>
      <c r="E510" s="511">
        <f t="shared" si="64"/>
        <v>-0.11530350573383484</v>
      </c>
      <c r="F510" s="511">
        <f t="shared" si="64"/>
        <v>-0.12940653018424667</v>
      </c>
      <c r="G510" s="511">
        <f t="shared" si="64"/>
        <v>-0.14638778453539608</v>
      </c>
      <c r="H510" s="511">
        <f t="shared" si="64"/>
        <v>-0.12940653018424667</v>
      </c>
      <c r="I510" s="511">
        <f t="shared" si="64"/>
        <v>0.031666250826239285</v>
      </c>
      <c r="J510" s="511">
        <f t="shared" si="64"/>
        <v>0.03522864912849063</v>
      </c>
      <c r="K510" s="511">
        <f t="shared" si="64"/>
        <v>0.024972776718854083</v>
      </c>
      <c r="L510" s="511"/>
      <c r="P510" s="123"/>
    </row>
    <row r="511" spans="1:16" ht="12.75">
      <c r="A511" s="138" t="s">
        <v>796</v>
      </c>
      <c r="B511" s="874">
        <f>(B508-B491)/B491</f>
        <v>1.5995073435164855</v>
      </c>
      <c r="C511" s="874">
        <f aca="true" t="shared" si="65" ref="C511:K511">(C508-C491)/C491</f>
        <v>1.3435588550073874</v>
      </c>
      <c r="D511" s="748">
        <f t="shared" si="65"/>
        <v>1.6425600539529375</v>
      </c>
      <c r="E511" s="748">
        <f t="shared" si="65"/>
        <v>0.46981760191777344</v>
      </c>
      <c r="F511" s="748">
        <f t="shared" si="65"/>
        <v>-0.48857703987428797</v>
      </c>
      <c r="G511" s="748">
        <f t="shared" si="65"/>
        <v>-0.16690490904994798</v>
      </c>
      <c r="H511" s="748">
        <f t="shared" si="65"/>
        <v>-0.48857703987428797</v>
      </c>
      <c r="I511" s="748">
        <f t="shared" si="65"/>
        <v>0.16264229676959166</v>
      </c>
      <c r="J511" s="748">
        <f t="shared" si="65"/>
        <v>0.31872590207434315</v>
      </c>
      <c r="K511" s="748">
        <f t="shared" si="65"/>
        <v>0.19854980685670254</v>
      </c>
      <c r="L511" s="748"/>
      <c r="P511" s="123"/>
    </row>
    <row r="512" spans="1:16" ht="12.75">
      <c r="A512" s="969" t="s">
        <v>833</v>
      </c>
      <c r="B512" s="874">
        <f>(B496-B491)/B491</f>
        <v>0.7325988707129621</v>
      </c>
      <c r="C512" s="874">
        <f aca="true" t="shared" si="66" ref="C512:K512">(C496-C491)/C491</f>
        <v>0.5939833200524034</v>
      </c>
      <c r="D512" s="874">
        <f t="shared" si="66"/>
        <v>0.5359310572818549</v>
      </c>
      <c r="E512" s="874">
        <f t="shared" si="66"/>
        <v>0.24319340443264217</v>
      </c>
      <c r="F512" s="874">
        <f t="shared" si="66"/>
        <v>-0.21567472009428404</v>
      </c>
      <c r="G512" s="874">
        <f t="shared" si="66"/>
        <v>-0.02493198509142744</v>
      </c>
      <c r="H512" s="874">
        <f t="shared" si="66"/>
        <v>-0.32213710469455903</v>
      </c>
      <c r="I512" s="874">
        <f t="shared" si="66"/>
        <v>0.04115067347862516</v>
      </c>
      <c r="J512" s="874">
        <f t="shared" si="66"/>
        <v>0.3589210942362714</v>
      </c>
      <c r="K512" s="874">
        <f t="shared" si="66"/>
        <v>0.2502014136651438</v>
      </c>
      <c r="L512" s="121"/>
      <c r="P512" s="123"/>
    </row>
    <row r="513" spans="1:16" ht="12.75">
      <c r="A513" s="1127" t="s">
        <v>733</v>
      </c>
      <c r="B513" s="1128">
        <f>(B508-B496)/B496</f>
        <v>0.5003515167055326</v>
      </c>
      <c r="C513" s="1128">
        <f aca="true" t="shared" si="67" ref="C513:K513">(C508-C496)/C496</f>
        <v>0.4702530606972356</v>
      </c>
      <c r="D513" s="1128">
        <f t="shared" si="67"/>
        <v>0.7204939254431703</v>
      </c>
      <c r="E513" s="1128">
        <f t="shared" si="67"/>
        <v>0.1822919882595066</v>
      </c>
      <c r="F513" s="1128">
        <f t="shared" si="67"/>
        <v>-0.34794533183070375</v>
      </c>
      <c r="G513" s="1128">
        <f t="shared" si="67"/>
        <v>-0.14560309823292958</v>
      </c>
      <c r="H513" s="1128">
        <f t="shared" si="67"/>
        <v>-0.24553628223703275</v>
      </c>
      <c r="I513" s="1128">
        <f t="shared" si="67"/>
        <v>0.1166897610362644</v>
      </c>
      <c r="J513" s="1128">
        <f t="shared" si="67"/>
        <v>-0.02957875356590766</v>
      </c>
      <c r="K513" s="1128">
        <f t="shared" si="67"/>
        <v>-0.04131462838217182</v>
      </c>
      <c r="L513" s="1129"/>
      <c r="P513" s="123"/>
    </row>
    <row r="514" spans="1:16" ht="12.75">
      <c r="A514" s="124" t="s">
        <v>97</v>
      </c>
      <c r="B514" s="4" t="s">
        <v>162</v>
      </c>
      <c r="C514" s="4"/>
      <c r="D514" s="4"/>
      <c r="E514" s="4"/>
      <c r="F514" s="168"/>
      <c r="G514" s="139" t="s">
        <v>91</v>
      </c>
      <c r="H514" s="4"/>
      <c r="I514" s="4"/>
      <c r="J514" s="4"/>
      <c r="K514" s="4"/>
      <c r="L514" s="4"/>
      <c r="P514" s="123"/>
    </row>
    <row r="515" spans="1:16" ht="12.75">
      <c r="A515" s="123" t="s">
        <v>156</v>
      </c>
      <c r="B515" s="4" t="s">
        <v>523</v>
      </c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P515" s="123"/>
    </row>
    <row r="516" spans="1:16" ht="12.75">
      <c r="A516" s="972" t="s">
        <v>640</v>
      </c>
      <c r="B516" s="4" t="s">
        <v>665</v>
      </c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P516" s="123"/>
    </row>
    <row r="517" spans="1:12" ht="12.75">
      <c r="A517" s="190" t="s">
        <v>528</v>
      </c>
      <c r="B517" t="s">
        <v>656</v>
      </c>
      <c r="D517" s="874"/>
      <c r="L517" s="4"/>
    </row>
    <row r="518" spans="1:12" ht="12.75">
      <c r="A518" s="190"/>
      <c r="B518" s="58" t="s">
        <v>655</v>
      </c>
      <c r="L518" s="4"/>
    </row>
    <row r="519" spans="1:11" ht="12.75">
      <c r="A519" s="191" t="s">
        <v>527</v>
      </c>
      <c r="B519" s="4" t="s">
        <v>657</v>
      </c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190" t="s">
        <v>636</v>
      </c>
      <c r="B520" s="4" t="s">
        <v>526</v>
      </c>
      <c r="C520" s="4"/>
      <c r="D520" s="4"/>
      <c r="E520" s="4"/>
      <c r="F520" s="4"/>
      <c r="G520" s="4"/>
      <c r="H520" s="4"/>
      <c r="I520" s="4"/>
      <c r="J520" s="4"/>
      <c r="K520" s="4"/>
    </row>
    <row r="521" spans="1:2" ht="12.75">
      <c r="A521" s="190" t="s">
        <v>637</v>
      </c>
      <c r="B521" s="58" t="s">
        <v>525</v>
      </c>
    </row>
    <row r="522" spans="1:2" ht="12.75">
      <c r="A522" s="190" t="s">
        <v>15</v>
      </c>
      <c r="B522" s="58" t="s">
        <v>836</v>
      </c>
    </row>
    <row r="523" spans="1:2" ht="12.75">
      <c r="A523" s="190" t="s">
        <v>638</v>
      </c>
      <c r="B523" s="58" t="s">
        <v>524</v>
      </c>
    </row>
    <row r="524" spans="1:11" ht="12.75">
      <c r="A524" s="190" t="s">
        <v>639</v>
      </c>
      <c r="B524" s="58" t="s">
        <v>648</v>
      </c>
      <c r="I524" s="124" t="s">
        <v>522</v>
      </c>
      <c r="K524" s="124"/>
    </row>
    <row r="528" spans="1:6" ht="18">
      <c r="A528" s="1095" t="s">
        <v>505</v>
      </c>
      <c r="B528" s="1096"/>
      <c r="C528" s="1096"/>
      <c r="D528" s="1096"/>
      <c r="E528" s="1096"/>
      <c r="F528" s="1096"/>
    </row>
    <row r="529" ht="15.75">
      <c r="A529" s="125" t="s">
        <v>685</v>
      </c>
    </row>
    <row r="530" spans="1:12" ht="15.75">
      <c r="A530" s="123"/>
      <c r="B530" s="126"/>
      <c r="C530" s="126"/>
      <c r="D530" s="127"/>
      <c r="E530" s="128"/>
      <c r="F530" s="129"/>
      <c r="H530" s="487"/>
      <c r="I530" s="487"/>
      <c r="J530" s="487"/>
      <c r="K530" s="487"/>
      <c r="L530" s="487"/>
    </row>
    <row r="531" spans="1:13" ht="12.75">
      <c r="A531" s="695" t="s">
        <v>5</v>
      </c>
      <c r="B531" s="696" t="s">
        <v>402</v>
      </c>
      <c r="C531" s="697" t="s">
        <v>288</v>
      </c>
      <c r="D531" s="56" t="s">
        <v>675</v>
      </c>
      <c r="E531" s="697" t="s">
        <v>649</v>
      </c>
      <c r="F531" s="697" t="s">
        <v>801</v>
      </c>
      <c r="G531" s="697"/>
      <c r="H531" s="698"/>
      <c r="I531" s="699"/>
      <c r="J531" s="168"/>
      <c r="K531" s="168"/>
      <c r="L531" s="168"/>
      <c r="M531" s="168"/>
    </row>
    <row r="532" spans="2:12" ht="12.75">
      <c r="B532" s="814"/>
      <c r="C532" s="815" t="s">
        <v>403</v>
      </c>
      <c r="D532" t="s">
        <v>403</v>
      </c>
      <c r="E532" s="816" t="s">
        <v>405</v>
      </c>
      <c r="F532" s="817"/>
      <c r="H532" s="954" t="s">
        <v>634</v>
      </c>
      <c r="I532" s="168"/>
      <c r="J532" s="168"/>
      <c r="K532" s="168"/>
      <c r="L532" s="168"/>
    </row>
    <row r="533" spans="1:12" ht="15.75">
      <c r="A533" s="589">
        <v>2006</v>
      </c>
      <c r="B533" s="590" t="s">
        <v>406</v>
      </c>
      <c r="C533" s="591">
        <v>289.16</v>
      </c>
      <c r="D533" s="35">
        <f>E533*0.7</f>
        <v>253.015</v>
      </c>
      <c r="E533" s="746">
        <v>361.45</v>
      </c>
      <c r="F533" s="591">
        <v>361.45</v>
      </c>
      <c r="G533" s="739" t="s">
        <v>476</v>
      </c>
      <c r="H533" s="168"/>
      <c r="J533" s="559"/>
      <c r="K533" s="168"/>
      <c r="L533" s="168"/>
    </row>
    <row r="534" spans="1:15" ht="12.75">
      <c r="A534" s="584">
        <v>2008</v>
      </c>
      <c r="B534" s="583">
        <v>40179</v>
      </c>
      <c r="C534" s="588">
        <v>294.62</v>
      </c>
      <c r="D534" s="35">
        <f>E534*0.7</f>
        <v>257.789</v>
      </c>
      <c r="E534" s="747">
        <v>368.27</v>
      </c>
      <c r="F534" s="588">
        <v>368.27</v>
      </c>
      <c r="G534" s="739" t="s">
        <v>476</v>
      </c>
      <c r="N534" s="123"/>
      <c r="O534" s="123"/>
    </row>
    <row r="535" spans="1:7" ht="12.75">
      <c r="A535" s="584">
        <v>2009</v>
      </c>
      <c r="B535" s="583">
        <v>40179</v>
      </c>
      <c r="C535" s="588">
        <v>309.55</v>
      </c>
      <c r="D535" s="35">
        <f>E535*0.7</f>
        <v>270.851</v>
      </c>
      <c r="E535" s="747">
        <v>386.93</v>
      </c>
      <c r="F535" s="588">
        <v>386.93</v>
      </c>
      <c r="G535" s="739" t="s">
        <v>476</v>
      </c>
    </row>
    <row r="536" spans="1:7" ht="12.75">
      <c r="A536" s="584">
        <v>2010</v>
      </c>
      <c r="B536" s="583">
        <v>40179</v>
      </c>
      <c r="C536" s="588">
        <v>314.43</v>
      </c>
      <c r="D536" s="35">
        <f>E536*0.7</f>
        <v>275.121</v>
      </c>
      <c r="E536" s="747">
        <v>393.03</v>
      </c>
      <c r="F536" s="588">
        <v>393.03</v>
      </c>
      <c r="G536" s="739" t="s">
        <v>476</v>
      </c>
    </row>
    <row r="537" spans="1:7" ht="12.75">
      <c r="A537" s="584">
        <v>2010</v>
      </c>
      <c r="B537" s="583">
        <v>41027</v>
      </c>
      <c r="C537" s="588">
        <v>345.9</v>
      </c>
      <c r="D537" s="35">
        <v>345.87</v>
      </c>
      <c r="E537" s="747">
        <v>494.1</v>
      </c>
      <c r="F537" s="588"/>
      <c r="G537" s="846" t="s">
        <v>678</v>
      </c>
    </row>
    <row r="538" spans="1:7" ht="12.75">
      <c r="A538" s="584">
        <v>2011</v>
      </c>
      <c r="B538" s="583">
        <v>40909</v>
      </c>
      <c r="C538" s="588">
        <v>386.1</v>
      </c>
      <c r="D538" s="812">
        <v>380.46</v>
      </c>
      <c r="E538" s="747">
        <v>543.51</v>
      </c>
      <c r="F538" s="588"/>
      <c r="G538" s="739" t="s">
        <v>679</v>
      </c>
    </row>
    <row r="539" spans="1:7" ht="12.75">
      <c r="A539" s="584">
        <v>2012</v>
      </c>
      <c r="B539" s="583">
        <v>40909</v>
      </c>
      <c r="C539" s="588">
        <v>442.1</v>
      </c>
      <c r="D539" s="35">
        <v>440.99</v>
      </c>
      <c r="E539" s="739">
        <v>629.99</v>
      </c>
      <c r="F539">
        <v>552.62</v>
      </c>
      <c r="G539" s="739" t="s">
        <v>679</v>
      </c>
    </row>
    <row r="540" spans="1:7" ht="12.75">
      <c r="A540" s="584">
        <v>2013</v>
      </c>
      <c r="B540" s="583">
        <v>41275</v>
      </c>
      <c r="C540" s="588">
        <v>490.11</v>
      </c>
      <c r="D540" s="35">
        <f>E540*0.7</f>
        <v>488.88699999999994</v>
      </c>
      <c r="E540" s="747">
        <v>698.41</v>
      </c>
      <c r="F540" s="588">
        <v>612.63</v>
      </c>
      <c r="G540" s="739" t="s">
        <v>679</v>
      </c>
    </row>
    <row r="541" spans="1:7" ht="12.75">
      <c r="A541" s="584"/>
      <c r="B541" s="583"/>
      <c r="C541" s="588"/>
      <c r="D541" s="35"/>
      <c r="E541" s="588"/>
      <c r="F541" s="588"/>
      <c r="G541" s="739"/>
    </row>
    <row r="542" spans="1:8" ht="12.75">
      <c r="A542" s="813" t="s">
        <v>563</v>
      </c>
      <c r="B542" s="528"/>
      <c r="C542" s="56" t="s">
        <v>676</v>
      </c>
      <c r="D542" s="56" t="s">
        <v>359</v>
      </c>
      <c r="E542" s="56" t="s">
        <v>404</v>
      </c>
      <c r="F542" s="56"/>
      <c r="G542" s="847"/>
      <c r="H542" s="698"/>
    </row>
    <row r="543" spans="1:8" ht="12.75">
      <c r="A543" s="921" t="s">
        <v>686</v>
      </c>
      <c r="B543" s="60"/>
      <c r="C543" s="19" t="s">
        <v>664</v>
      </c>
      <c r="D543" s="19" t="s">
        <v>664</v>
      </c>
      <c r="E543" s="10"/>
      <c r="F543" s="10"/>
      <c r="G543" s="60" t="s">
        <v>677</v>
      </c>
      <c r="H543" s="63"/>
    </row>
    <row r="544" spans="1:17" ht="12.75">
      <c r="A544" s="584" t="s">
        <v>661</v>
      </c>
      <c r="B544" s="908">
        <v>40909</v>
      </c>
      <c r="C544" s="904">
        <f>(C538-C535)*100/C535</f>
        <v>24.72944596995639</v>
      </c>
      <c r="D544" s="904">
        <f>(D538-D535)*100/D535</f>
        <v>40.46837560134538</v>
      </c>
      <c r="E544" s="54"/>
      <c r="F544" s="54"/>
      <c r="G544" s="54"/>
      <c r="H544" s="54"/>
      <c r="I544" s="54"/>
      <c r="J544" s="54"/>
      <c r="K544" s="54"/>
      <c r="L544" s="54"/>
      <c r="M544" s="54"/>
      <c r="Q544" s="487"/>
    </row>
    <row r="545" spans="1:13" ht="12.75">
      <c r="A545" s="584" t="s">
        <v>661</v>
      </c>
      <c r="B545" s="906" t="s">
        <v>662</v>
      </c>
      <c r="C545" s="904">
        <v>23.2</v>
      </c>
      <c r="D545" s="904">
        <v>38.1</v>
      </c>
      <c r="E545" s="54" t="s">
        <v>663</v>
      </c>
      <c r="F545" s="54"/>
      <c r="G545" s="54"/>
      <c r="H545" s="54"/>
      <c r="I545" s="54"/>
      <c r="J545" s="54"/>
      <c r="K545" s="54"/>
      <c r="L545" s="54"/>
      <c r="M545" s="54"/>
    </row>
    <row r="546" spans="1:7" ht="12.75">
      <c r="A546" s="905" t="s">
        <v>660</v>
      </c>
      <c r="B546" s="907">
        <v>40909</v>
      </c>
      <c r="C546" s="904">
        <f>(C539-C536)*100/C536</f>
        <v>40.60363196895971</v>
      </c>
      <c r="D546" s="904">
        <f>(D539-D536)*100/D536</f>
        <v>60.289472632041914</v>
      </c>
      <c r="E546" s="904">
        <f>(E539-E536)*100/E536</f>
        <v>60.29056306134393</v>
      </c>
      <c r="F546" s="904">
        <f>(F539-F535)*100/F535</f>
        <v>42.82169901532577</v>
      </c>
      <c r="G546" s="904"/>
    </row>
    <row r="547" spans="1:8" ht="12.75">
      <c r="A547" s="666" t="s">
        <v>312</v>
      </c>
      <c r="B547" s="4" t="s">
        <v>407</v>
      </c>
      <c r="C547" s="4"/>
      <c r="D547" s="4"/>
      <c r="E547" s="4"/>
      <c r="F547" s="4"/>
      <c r="G547" s="4"/>
      <c r="H547" s="4"/>
    </row>
    <row r="548" spans="1:5" ht="12.75">
      <c r="A548" s="666" t="s">
        <v>650</v>
      </c>
      <c r="B548" s="585" t="s">
        <v>651</v>
      </c>
      <c r="C548" s="585"/>
      <c r="D548" s="586"/>
      <c r="E548" s="587"/>
    </row>
    <row r="549" ht="12.75">
      <c r="B549" s="166" t="s">
        <v>659</v>
      </c>
    </row>
    <row r="550" ht="12.75">
      <c r="A550" s="646"/>
    </row>
    <row r="551" ht="12.75">
      <c r="A551" s="646"/>
    </row>
    <row r="552" ht="12.75">
      <c r="A552" s="646"/>
    </row>
    <row r="553" ht="15.75">
      <c r="A553" s="140" t="s">
        <v>802</v>
      </c>
    </row>
    <row r="554" spans="1:5" ht="15.75">
      <c r="A554" s="140"/>
      <c r="B554" s="54"/>
      <c r="C554" s="54"/>
      <c r="D554" s="54"/>
      <c r="E554" s="54"/>
    </row>
    <row r="555" spans="1:8" ht="15.75">
      <c r="A555" s="142" t="s">
        <v>226</v>
      </c>
      <c r="B555" s="141"/>
      <c r="C555" s="141"/>
      <c r="D555" s="141"/>
      <c r="H555" s="35"/>
    </row>
    <row r="556" spans="2:8" ht="15.75">
      <c r="B556" s="143"/>
      <c r="C556" s="144"/>
      <c r="D556" s="144"/>
      <c r="E556" s="145"/>
      <c r="H556" s="35"/>
    </row>
    <row r="557" spans="1:10" ht="13.5">
      <c r="A557" s="819"/>
      <c r="B557" s="820"/>
      <c r="C557" s="821"/>
      <c r="D557" s="821"/>
      <c r="E557" s="821" t="s">
        <v>332</v>
      </c>
      <c r="F557" s="931" t="s">
        <v>690</v>
      </c>
      <c r="G557" s="822" t="s">
        <v>168</v>
      </c>
      <c r="H557" s="820">
        <v>2012</v>
      </c>
      <c r="I557" s="820">
        <v>2012</v>
      </c>
      <c r="J557" s="820">
        <v>2012</v>
      </c>
    </row>
    <row r="558" spans="1:20" ht="13.5">
      <c r="A558" s="823" t="s">
        <v>23</v>
      </c>
      <c r="B558" s="824"/>
      <c r="C558" s="823" t="s">
        <v>24</v>
      </c>
      <c r="D558" s="825"/>
      <c r="E558" s="825" t="s">
        <v>98</v>
      </c>
      <c r="F558" s="1115" t="s">
        <v>99</v>
      </c>
      <c r="G558" s="1130" t="s">
        <v>167</v>
      </c>
      <c r="H558" s="1130" t="s">
        <v>161</v>
      </c>
      <c r="I558" s="826" t="s">
        <v>155</v>
      </c>
      <c r="J558" s="547" t="s">
        <v>113</v>
      </c>
      <c r="Q558" s="101"/>
      <c r="R558" s="101"/>
      <c r="S558" s="101"/>
      <c r="T558" s="101"/>
    </row>
    <row r="559" spans="1:10" ht="13.5">
      <c r="A559" s="154" t="s">
        <v>687</v>
      </c>
      <c r="B559" s="62"/>
      <c r="C559" s="155"/>
      <c r="D559" s="155"/>
      <c r="E559" s="162"/>
      <c r="F559" s="861"/>
      <c r="H559" s="54"/>
      <c r="I559" s="158"/>
      <c r="J559" s="818"/>
    </row>
    <row r="560" spans="1:19" ht="13.5">
      <c r="A560" s="159" t="s">
        <v>100</v>
      </c>
      <c r="B560" s="62"/>
      <c r="C560" s="155" t="s">
        <v>157</v>
      </c>
      <c r="D560" s="155"/>
      <c r="E560" s="162">
        <v>30</v>
      </c>
      <c r="F560" s="884">
        <v>54759</v>
      </c>
      <c r="G560" s="605">
        <f>SUM(F560:F569)</f>
        <v>138643</v>
      </c>
      <c r="H560" s="32">
        <v>32.3</v>
      </c>
      <c r="I560" s="33">
        <f>H560/E560</f>
        <v>1.0766666666666667</v>
      </c>
      <c r="J560" s="548">
        <f>F560*I560</f>
        <v>58957.19</v>
      </c>
      <c r="Q560" s="101"/>
      <c r="R560" s="101"/>
      <c r="S560" s="101"/>
    </row>
    <row r="561" spans="1:19" ht="13.5">
      <c r="A561" s="159"/>
      <c r="B561" s="62"/>
      <c r="C561" s="155" t="s">
        <v>45</v>
      </c>
      <c r="D561" s="155"/>
      <c r="E561" s="162">
        <v>50</v>
      </c>
      <c r="F561" s="884">
        <v>30521</v>
      </c>
      <c r="G561" s="4"/>
      <c r="H561" s="32">
        <v>53.5</v>
      </c>
      <c r="I561" s="33">
        <f>H561/E561</f>
        <v>1.07</v>
      </c>
      <c r="J561" s="548">
        <f>F561*I561</f>
        <v>32657.47</v>
      </c>
      <c r="Q561" s="101"/>
      <c r="R561" s="101"/>
      <c r="S561" s="101"/>
    </row>
    <row r="562" spans="1:19" ht="13.5">
      <c r="A562" s="159"/>
      <c r="B562" s="62"/>
      <c r="C562" s="155" t="s">
        <v>704</v>
      </c>
      <c r="D562" s="155"/>
      <c r="E562" s="162">
        <v>40</v>
      </c>
      <c r="F562" s="884">
        <v>6347</v>
      </c>
      <c r="G562" s="4"/>
      <c r="H562" s="32">
        <v>43</v>
      </c>
      <c r="I562" s="33">
        <f>H562/E562</f>
        <v>1.075</v>
      </c>
      <c r="J562" s="548">
        <f>F562*I562</f>
        <v>6823.025</v>
      </c>
      <c r="Q562" s="101"/>
      <c r="R562" s="101"/>
      <c r="S562" s="101"/>
    </row>
    <row r="563" spans="1:19" ht="13.5">
      <c r="A563" s="159"/>
      <c r="B563" s="62"/>
      <c r="C563" s="155" t="s">
        <v>171</v>
      </c>
      <c r="D563" s="155"/>
      <c r="E563" s="162">
        <v>30</v>
      </c>
      <c r="F563" s="884">
        <v>20967</v>
      </c>
      <c r="G563" s="4"/>
      <c r="H563" s="32">
        <v>32.3</v>
      </c>
      <c r="I563" s="33">
        <f aca="true" t="shared" si="68" ref="I563:I589">H563/E563</f>
        <v>1.0766666666666667</v>
      </c>
      <c r="J563" s="548">
        <f aca="true" t="shared" si="69" ref="J563:J589">F563*I563</f>
        <v>22574.47</v>
      </c>
      <c r="Q563" s="101"/>
      <c r="R563" s="101"/>
      <c r="S563" s="101"/>
    </row>
    <row r="564" spans="1:19" ht="13.5">
      <c r="A564" s="159"/>
      <c r="B564" s="62"/>
      <c r="C564" s="155" t="s">
        <v>171</v>
      </c>
      <c r="D564" s="155"/>
      <c r="E564" s="162">
        <v>40</v>
      </c>
      <c r="F564" s="884">
        <v>2174</v>
      </c>
      <c r="G564" s="4"/>
      <c r="H564" s="32">
        <v>43</v>
      </c>
      <c r="I564" s="33">
        <f>H564/E564</f>
        <v>1.075</v>
      </c>
      <c r="J564" s="548">
        <f>F564*I564</f>
        <v>2337.0499999999997</v>
      </c>
      <c r="Q564" s="101"/>
      <c r="R564" s="101"/>
      <c r="S564" s="101"/>
    </row>
    <row r="565" spans="1:19" ht="13.5">
      <c r="A565" s="159"/>
      <c r="B565" s="62"/>
      <c r="C565" s="155" t="s">
        <v>171</v>
      </c>
      <c r="D565" s="155"/>
      <c r="E565" s="162">
        <v>50</v>
      </c>
      <c r="F565" s="884">
        <v>9317</v>
      </c>
      <c r="G565" s="4"/>
      <c r="H565" s="32">
        <v>53.5</v>
      </c>
      <c r="I565" s="33">
        <f t="shared" si="68"/>
        <v>1.07</v>
      </c>
      <c r="J565" s="548">
        <f t="shared" si="69"/>
        <v>9969.19</v>
      </c>
      <c r="Q565" s="101"/>
      <c r="R565" s="101"/>
      <c r="S565" s="101"/>
    </row>
    <row r="566" spans="1:19" ht="13.5">
      <c r="A566" s="159"/>
      <c r="B566" s="62"/>
      <c r="C566" s="155" t="s">
        <v>42</v>
      </c>
      <c r="D566" s="155"/>
      <c r="E566" s="162">
        <v>30</v>
      </c>
      <c r="F566" s="885">
        <v>9375</v>
      </c>
      <c r="G566" s="4"/>
      <c r="H566" s="32">
        <v>32.3</v>
      </c>
      <c r="I566" s="33">
        <f t="shared" si="68"/>
        <v>1.0766666666666667</v>
      </c>
      <c r="J566" s="548">
        <f t="shared" si="69"/>
        <v>10093.75</v>
      </c>
      <c r="Q566" s="101"/>
      <c r="R566" s="101"/>
      <c r="S566" s="101"/>
    </row>
    <row r="567" spans="1:19" ht="13.5">
      <c r="A567" s="159"/>
      <c r="B567" s="62"/>
      <c r="C567" s="155" t="s">
        <v>42</v>
      </c>
      <c r="D567" s="155"/>
      <c r="E567" s="162">
        <v>40</v>
      </c>
      <c r="F567" s="885">
        <v>1416</v>
      </c>
      <c r="G567" s="4"/>
      <c r="H567" s="32">
        <v>43</v>
      </c>
      <c r="I567" s="33">
        <f>H567/E567</f>
        <v>1.075</v>
      </c>
      <c r="J567" s="548">
        <f>F567*I567</f>
        <v>1522.2</v>
      </c>
      <c r="Q567" s="101"/>
      <c r="R567" s="101"/>
      <c r="S567" s="101"/>
    </row>
    <row r="568" spans="1:19" ht="13.5">
      <c r="A568" s="159"/>
      <c r="B568" s="62"/>
      <c r="C568" s="155" t="s">
        <v>42</v>
      </c>
      <c r="D568" s="155"/>
      <c r="E568" s="162">
        <v>50</v>
      </c>
      <c r="F568" s="884">
        <v>2881</v>
      </c>
      <c r="G568" s="4"/>
      <c r="H568" s="32">
        <v>53.5</v>
      </c>
      <c r="I568" s="33">
        <f t="shared" si="68"/>
        <v>1.07</v>
      </c>
      <c r="J568" s="548">
        <f t="shared" si="69"/>
        <v>3082.67</v>
      </c>
      <c r="Q568" s="101"/>
      <c r="R568" s="101"/>
      <c r="S568" s="101"/>
    </row>
    <row r="569" spans="1:19" ht="13.5">
      <c r="A569" s="159"/>
      <c r="B569" s="62"/>
      <c r="C569" s="155" t="s">
        <v>705</v>
      </c>
      <c r="D569" s="155"/>
      <c r="E569" s="162">
        <v>30</v>
      </c>
      <c r="F569" s="884">
        <v>886</v>
      </c>
      <c r="G569" s="4"/>
      <c r="H569" s="32">
        <v>32.3</v>
      </c>
      <c r="I569" s="33">
        <f>H569/E569</f>
        <v>1.0766666666666667</v>
      </c>
      <c r="J569" s="548">
        <f>F569*I569</f>
        <v>953.9266666666666</v>
      </c>
      <c r="Q569" s="101"/>
      <c r="R569" s="101"/>
      <c r="S569" s="101"/>
    </row>
    <row r="570" spans="1:19" ht="13.5">
      <c r="A570" s="172" t="s">
        <v>101</v>
      </c>
      <c r="B570" s="211"/>
      <c r="C570" s="147" t="s">
        <v>45</v>
      </c>
      <c r="D570" s="147"/>
      <c r="E570" s="689">
        <v>30</v>
      </c>
      <c r="F570" s="886">
        <v>93171</v>
      </c>
      <c r="G570" s="611">
        <f>SUM(F570:F576)</f>
        <v>174373</v>
      </c>
      <c r="H570" s="718">
        <v>32.8</v>
      </c>
      <c r="I570" s="710">
        <f t="shared" si="68"/>
        <v>1.0933333333333333</v>
      </c>
      <c r="J570" s="711">
        <f t="shared" si="69"/>
        <v>101866.95999999999</v>
      </c>
      <c r="Q570" s="101"/>
      <c r="R570" s="101"/>
      <c r="S570" s="101"/>
    </row>
    <row r="571" spans="1:19" ht="13.5">
      <c r="A571" s="159"/>
      <c r="B571" s="63"/>
      <c r="C571" s="155" t="s">
        <v>704</v>
      </c>
      <c r="D571" s="155"/>
      <c r="E571" s="162">
        <v>40</v>
      </c>
      <c r="F571" s="884">
        <v>12452</v>
      </c>
      <c r="G571" s="31"/>
      <c r="H571" s="32">
        <v>43.5</v>
      </c>
      <c r="I571" s="33">
        <f>H571/E571</f>
        <v>1.0875</v>
      </c>
      <c r="J571" s="548">
        <f>F571*I571</f>
        <v>13541.55</v>
      </c>
      <c r="Q571" s="101"/>
      <c r="R571" s="101"/>
      <c r="S571" s="101"/>
    </row>
    <row r="572" spans="1:19" ht="13.5">
      <c r="A572" s="159"/>
      <c r="B572" s="62"/>
      <c r="C572" s="155" t="s">
        <v>45</v>
      </c>
      <c r="D572" s="155"/>
      <c r="E572" s="162">
        <v>50</v>
      </c>
      <c r="F572" s="884">
        <v>52445</v>
      </c>
      <c r="G572" s="4"/>
      <c r="H572" s="32">
        <v>54</v>
      </c>
      <c r="I572" s="33">
        <f t="shared" si="68"/>
        <v>1.08</v>
      </c>
      <c r="J572" s="548">
        <f t="shared" si="69"/>
        <v>56640.600000000006</v>
      </c>
      <c r="Q572" s="101"/>
      <c r="R572" s="101"/>
      <c r="S572" s="101"/>
    </row>
    <row r="573" spans="1:19" ht="13.5">
      <c r="A573" s="159" t="s">
        <v>102</v>
      </c>
      <c r="B573" s="62"/>
      <c r="C573" s="155" t="s">
        <v>103</v>
      </c>
      <c r="D573" s="155"/>
      <c r="E573" s="162">
        <v>30</v>
      </c>
      <c r="F573" s="884">
        <v>5958</v>
      </c>
      <c r="G573" s="4" t="s">
        <v>232</v>
      </c>
      <c r="H573" s="32">
        <v>32.8</v>
      </c>
      <c r="I573" s="33">
        <f t="shared" si="68"/>
        <v>1.0933333333333333</v>
      </c>
      <c r="J573" s="548">
        <f t="shared" si="69"/>
        <v>6514.08</v>
      </c>
      <c r="Q573" s="101"/>
      <c r="R573" s="101"/>
      <c r="S573" s="101"/>
    </row>
    <row r="574" spans="1:19" ht="13.5">
      <c r="A574" s="159" t="s">
        <v>102</v>
      </c>
      <c r="B574" s="62"/>
      <c r="C574" s="155" t="s">
        <v>103</v>
      </c>
      <c r="D574" s="155"/>
      <c r="E574" s="162">
        <v>50</v>
      </c>
      <c r="F574" s="884">
        <v>2957</v>
      </c>
      <c r="G574" s="4"/>
      <c r="H574" s="32">
        <v>54</v>
      </c>
      <c r="I574" s="33">
        <f t="shared" si="68"/>
        <v>1.08</v>
      </c>
      <c r="J574" s="548">
        <f t="shared" si="69"/>
        <v>3193.5600000000004</v>
      </c>
      <c r="Q574" s="101"/>
      <c r="R574" s="101"/>
      <c r="S574" s="101"/>
    </row>
    <row r="575" spans="1:19" ht="13.5">
      <c r="A575" s="155"/>
      <c r="B575" s="62"/>
      <c r="C575" s="155" t="s">
        <v>172</v>
      </c>
      <c r="D575" s="155"/>
      <c r="E575" s="162">
        <v>30</v>
      </c>
      <c r="F575" s="884">
        <v>5967</v>
      </c>
      <c r="G575" s="4"/>
      <c r="H575" s="32">
        <v>32.8</v>
      </c>
      <c r="I575" s="33">
        <f t="shared" si="68"/>
        <v>1.0933333333333333</v>
      </c>
      <c r="J575" s="548">
        <f t="shared" si="69"/>
        <v>6523.919999999999</v>
      </c>
      <c r="Q575" s="101"/>
      <c r="R575" s="101"/>
      <c r="S575" s="101"/>
    </row>
    <row r="576" spans="1:19" ht="13.5">
      <c r="A576" s="155"/>
      <c r="B576" s="62"/>
      <c r="C576" s="155" t="s">
        <v>172</v>
      </c>
      <c r="D576" s="155"/>
      <c r="E576" s="162">
        <v>50</v>
      </c>
      <c r="F576" s="884">
        <v>1423</v>
      </c>
      <c r="G576" s="4"/>
      <c r="H576" s="32">
        <v>54</v>
      </c>
      <c r="I576" s="33">
        <f t="shared" si="68"/>
        <v>1.08</v>
      </c>
      <c r="J576" s="548">
        <f t="shared" si="69"/>
        <v>1536.8400000000001</v>
      </c>
      <c r="Q576" s="101"/>
      <c r="R576" s="101"/>
      <c r="S576" s="101"/>
    </row>
    <row r="577" spans="1:19" ht="13.5">
      <c r="A577" s="172" t="s">
        <v>41</v>
      </c>
      <c r="B577" s="211"/>
      <c r="C577" s="147" t="s">
        <v>45</v>
      </c>
      <c r="D577" s="147"/>
      <c r="E577" s="689">
        <v>30</v>
      </c>
      <c r="F577" s="861">
        <v>26472</v>
      </c>
      <c r="G577" s="611">
        <f>SUM(F577:F583)</f>
        <v>58732</v>
      </c>
      <c r="H577" s="718">
        <v>31.5</v>
      </c>
      <c r="I577" s="802">
        <f t="shared" si="68"/>
        <v>1.05</v>
      </c>
      <c r="J577" s="711">
        <f t="shared" si="69"/>
        <v>27795.600000000002</v>
      </c>
      <c r="Q577" s="101"/>
      <c r="R577" s="101"/>
      <c r="S577" s="101"/>
    </row>
    <row r="578" spans="1:19" ht="13.5">
      <c r="A578" s="159" t="s">
        <v>41</v>
      </c>
      <c r="B578" s="62"/>
      <c r="C578" s="155" t="s">
        <v>45</v>
      </c>
      <c r="D578" s="155"/>
      <c r="E578" s="162">
        <v>50</v>
      </c>
      <c r="F578" s="887">
        <v>11762</v>
      </c>
      <c r="G578" s="4"/>
      <c r="H578" s="32">
        <v>51.8</v>
      </c>
      <c r="I578" s="33">
        <f t="shared" si="68"/>
        <v>1.036</v>
      </c>
      <c r="J578" s="548">
        <f t="shared" si="69"/>
        <v>12185.432</v>
      </c>
      <c r="Q578" s="101"/>
      <c r="R578" s="101"/>
      <c r="S578" s="101"/>
    </row>
    <row r="579" spans="1:19" ht="13.5">
      <c r="A579" s="159" t="s">
        <v>41</v>
      </c>
      <c r="B579" s="62"/>
      <c r="C579" s="155" t="s">
        <v>42</v>
      </c>
      <c r="D579" s="155"/>
      <c r="E579" s="162">
        <v>30</v>
      </c>
      <c r="F579" s="887">
        <v>12933</v>
      </c>
      <c r="G579" s="4"/>
      <c r="H579" s="32">
        <v>31.5</v>
      </c>
      <c r="I579" s="33">
        <f t="shared" si="68"/>
        <v>1.05</v>
      </c>
      <c r="J579" s="548">
        <f t="shared" si="69"/>
        <v>13579.650000000001</v>
      </c>
      <c r="Q579" s="101"/>
      <c r="R579" s="101"/>
      <c r="S579" s="101"/>
    </row>
    <row r="580" spans="1:19" ht="13.5">
      <c r="A580" s="159" t="s">
        <v>41</v>
      </c>
      <c r="B580" s="62"/>
      <c r="C580" s="155" t="s">
        <v>42</v>
      </c>
      <c r="D580" s="155"/>
      <c r="E580" s="162">
        <v>50</v>
      </c>
      <c r="F580" s="887">
        <v>3998</v>
      </c>
      <c r="G580" s="4"/>
      <c r="H580" s="32">
        <v>51.8</v>
      </c>
      <c r="I580" s="33">
        <f t="shared" si="68"/>
        <v>1.036</v>
      </c>
      <c r="J580" s="548">
        <f t="shared" si="69"/>
        <v>4141.928</v>
      </c>
      <c r="Q580" s="101"/>
      <c r="R580" s="101"/>
      <c r="S580" s="101"/>
    </row>
    <row r="581" spans="1:19" ht="13.5">
      <c r="A581" s="159" t="s">
        <v>41</v>
      </c>
      <c r="B581" s="62"/>
      <c r="C581" s="155" t="s">
        <v>42</v>
      </c>
      <c r="D581" s="155"/>
      <c r="E581" s="162">
        <v>40</v>
      </c>
      <c r="F581" s="887">
        <v>606</v>
      </c>
      <c r="G581" s="4"/>
      <c r="H581" s="32">
        <v>41.5</v>
      </c>
      <c r="I581" s="33">
        <f t="shared" si="68"/>
        <v>1.0375</v>
      </c>
      <c r="J581" s="548">
        <f t="shared" si="69"/>
        <v>628.725</v>
      </c>
      <c r="Q581" s="101"/>
      <c r="R581" s="101"/>
      <c r="S581" s="101"/>
    </row>
    <row r="582" spans="1:19" ht="13.5">
      <c r="A582" s="159" t="s">
        <v>41</v>
      </c>
      <c r="B582" s="62"/>
      <c r="C582" s="155" t="s">
        <v>45</v>
      </c>
      <c r="D582" s="155"/>
      <c r="E582" s="162">
        <v>40</v>
      </c>
      <c r="F582" s="887">
        <v>1661</v>
      </c>
      <c r="G582" s="4"/>
      <c r="H582" s="32">
        <v>41.5</v>
      </c>
      <c r="I582" s="33">
        <f t="shared" si="68"/>
        <v>1.0375</v>
      </c>
      <c r="J582" s="548">
        <f t="shared" si="69"/>
        <v>1723.2875000000001</v>
      </c>
      <c r="Q582" s="101"/>
      <c r="R582" s="101"/>
      <c r="S582" s="101"/>
    </row>
    <row r="583" spans="1:19" ht="13.5">
      <c r="A583" s="160" t="s">
        <v>41</v>
      </c>
      <c r="B583" s="62"/>
      <c r="C583" s="150" t="s">
        <v>40</v>
      </c>
      <c r="D583" s="150" t="s">
        <v>207</v>
      </c>
      <c r="E583" s="859">
        <v>30</v>
      </c>
      <c r="F583" s="887">
        <v>1300</v>
      </c>
      <c r="G583" s="26"/>
      <c r="H583" s="32">
        <v>31.5</v>
      </c>
      <c r="I583" s="33">
        <f t="shared" si="68"/>
        <v>1.05</v>
      </c>
      <c r="J583" s="548">
        <f t="shared" si="69"/>
        <v>1365</v>
      </c>
      <c r="Q583" s="101"/>
      <c r="R583" s="101"/>
      <c r="S583" s="101"/>
    </row>
    <row r="584" spans="1:19" ht="13.5">
      <c r="A584" s="159" t="s">
        <v>48</v>
      </c>
      <c r="B584" s="211"/>
      <c r="C584" s="155" t="s">
        <v>45</v>
      </c>
      <c r="D584" s="155"/>
      <c r="E584" s="162">
        <v>30</v>
      </c>
      <c r="F584" s="861">
        <v>29441</v>
      </c>
      <c r="G584" s="611">
        <f>SUM(F584:F589)</f>
        <v>58430</v>
      </c>
      <c r="H584" s="718">
        <v>31</v>
      </c>
      <c r="I584" s="710">
        <f t="shared" si="68"/>
        <v>1.0333333333333334</v>
      </c>
      <c r="J584" s="711">
        <f t="shared" si="69"/>
        <v>30422.36666666667</v>
      </c>
      <c r="Q584" s="101"/>
      <c r="R584" s="101"/>
      <c r="S584" s="101"/>
    </row>
    <row r="585" spans="1:19" ht="13.5">
      <c r="A585" s="159"/>
      <c r="B585" s="63"/>
      <c r="C585" s="155" t="s">
        <v>704</v>
      </c>
      <c r="D585" s="155"/>
      <c r="E585" s="162">
        <v>40</v>
      </c>
      <c r="F585" s="887">
        <v>5573</v>
      </c>
      <c r="G585" s="31"/>
      <c r="H585" s="36">
        <v>43</v>
      </c>
      <c r="I585" s="33">
        <f>H585/E585</f>
        <v>1.075</v>
      </c>
      <c r="J585" s="548">
        <f>F585*I585</f>
        <v>5990.974999999999</v>
      </c>
      <c r="Q585" s="101"/>
      <c r="R585" s="101"/>
      <c r="S585" s="101"/>
    </row>
    <row r="586" spans="1:19" ht="13.5">
      <c r="A586" s="159"/>
      <c r="B586" s="62"/>
      <c r="C586" s="155" t="s">
        <v>45</v>
      </c>
      <c r="D586" s="155"/>
      <c r="E586" s="162">
        <v>50</v>
      </c>
      <c r="F586" s="887">
        <v>10566</v>
      </c>
      <c r="G586" s="4"/>
      <c r="H586" s="32">
        <v>50</v>
      </c>
      <c r="I586" s="33">
        <f t="shared" si="68"/>
        <v>1</v>
      </c>
      <c r="J586" s="548">
        <f t="shared" si="69"/>
        <v>10566</v>
      </c>
      <c r="Q586" s="101"/>
      <c r="R586" s="101"/>
      <c r="S586" s="101"/>
    </row>
    <row r="587" spans="1:19" ht="13.5">
      <c r="A587" s="159" t="s">
        <v>104</v>
      </c>
      <c r="B587" s="62"/>
      <c r="C587" s="155" t="s">
        <v>143</v>
      </c>
      <c r="D587" s="155"/>
      <c r="E587" s="162">
        <v>30</v>
      </c>
      <c r="F587" s="887">
        <v>8659</v>
      </c>
      <c r="G587" s="4"/>
      <c r="H587" s="32">
        <v>31.5</v>
      </c>
      <c r="I587" s="33">
        <f t="shared" si="68"/>
        <v>1.05</v>
      </c>
      <c r="J587" s="548">
        <f t="shared" si="69"/>
        <v>9091.95</v>
      </c>
      <c r="Q587" s="101"/>
      <c r="R587" s="101"/>
      <c r="S587" s="101"/>
    </row>
    <row r="588" spans="1:19" ht="13.5">
      <c r="A588" s="159"/>
      <c r="B588" s="62"/>
      <c r="C588" s="155" t="s">
        <v>143</v>
      </c>
      <c r="D588" s="155"/>
      <c r="E588" s="162">
        <v>40</v>
      </c>
      <c r="F588" s="887">
        <v>2274</v>
      </c>
      <c r="G588" s="4"/>
      <c r="H588" s="32">
        <v>42</v>
      </c>
      <c r="I588" s="33">
        <f t="shared" si="68"/>
        <v>1.05</v>
      </c>
      <c r="J588" s="548">
        <f t="shared" si="69"/>
        <v>2387.7000000000003</v>
      </c>
      <c r="Q588" s="101"/>
      <c r="R588" s="101"/>
      <c r="S588" s="101"/>
    </row>
    <row r="589" spans="1:19" ht="13.5">
      <c r="A589" s="159"/>
      <c r="B589" s="62"/>
      <c r="C589" s="155" t="s">
        <v>143</v>
      </c>
      <c r="D589" s="155"/>
      <c r="E589" s="162">
        <v>50</v>
      </c>
      <c r="F589" s="887">
        <v>1917</v>
      </c>
      <c r="G589" s="61"/>
      <c r="H589" s="32">
        <v>50</v>
      </c>
      <c r="I589" s="33">
        <f t="shared" si="68"/>
        <v>1</v>
      </c>
      <c r="J589" s="548">
        <f t="shared" si="69"/>
        <v>1917</v>
      </c>
      <c r="Q589" s="101"/>
      <c r="R589" s="101"/>
      <c r="S589" s="101"/>
    </row>
    <row r="590" spans="1:19" ht="13.5">
      <c r="A590" s="170" t="s">
        <v>105</v>
      </c>
      <c r="B590" s="698"/>
      <c r="C590" s="173"/>
      <c r="D590" s="173"/>
      <c r="E590" s="173"/>
      <c r="F590" s="860">
        <f>SUM(F560:F589)</f>
        <v>430178</v>
      </c>
      <c r="G590" s="723">
        <f>SUM(G560:G589)</f>
        <v>430178</v>
      </c>
      <c r="H590" s="687" t="s">
        <v>386</v>
      </c>
      <c r="I590" s="844">
        <f>J590/F590</f>
        <v>1.0706825217313143</v>
      </c>
      <c r="J590" s="845">
        <f>SUM(J560:J589)</f>
        <v>460584.0658333333</v>
      </c>
      <c r="Q590" s="101"/>
      <c r="R590" s="101"/>
      <c r="S590" s="101"/>
    </row>
    <row r="591" spans="1:19" ht="12.75">
      <c r="A591" s="95"/>
      <c r="Q591" s="101"/>
      <c r="R591" s="101"/>
      <c r="S591" s="101"/>
    </row>
    <row r="592" spans="1:19" ht="12.75">
      <c r="A592" s="95"/>
      <c r="Q592" s="101"/>
      <c r="R592" s="101"/>
      <c r="S592" s="101"/>
    </row>
    <row r="593" spans="1:19" ht="12.75">
      <c r="A593" s="95"/>
      <c r="Q593" s="101"/>
      <c r="R593" s="101"/>
      <c r="S593" s="101"/>
    </row>
    <row r="594" spans="1:19" ht="13.5">
      <c r="A594" s="170" t="s">
        <v>902</v>
      </c>
      <c r="B594" s="698"/>
      <c r="C594" s="173"/>
      <c r="D594" s="173"/>
      <c r="E594" s="173"/>
      <c r="F594" s="931" t="s">
        <v>690</v>
      </c>
      <c r="G594" s="685" t="s">
        <v>168</v>
      </c>
      <c r="H594" s="717">
        <v>2012</v>
      </c>
      <c r="I594" s="717">
        <v>2012</v>
      </c>
      <c r="J594" s="717">
        <v>2012</v>
      </c>
      <c r="Q594" s="101"/>
      <c r="R594" s="101"/>
      <c r="S594" s="101"/>
    </row>
    <row r="595" spans="1:19" ht="13.5">
      <c r="A595" s="165" t="s">
        <v>1</v>
      </c>
      <c r="B595" s="62"/>
      <c r="C595" s="150"/>
      <c r="D595" s="150"/>
      <c r="E595" s="161" t="s">
        <v>652</v>
      </c>
      <c r="F595" s="151" t="s">
        <v>99</v>
      </c>
      <c r="G595" s="682" t="s">
        <v>167</v>
      </c>
      <c r="H595" s="683" t="s">
        <v>161</v>
      </c>
      <c r="I595" s="152" t="s">
        <v>155</v>
      </c>
      <c r="J595" s="547" t="s">
        <v>113</v>
      </c>
      <c r="Q595" s="101"/>
      <c r="R595" s="101"/>
      <c r="S595" s="101"/>
    </row>
    <row r="596" spans="1:19" ht="13.5">
      <c r="A596" s="159" t="s">
        <v>52</v>
      </c>
      <c r="B596" s="62"/>
      <c r="C596" s="155" t="s">
        <v>45</v>
      </c>
      <c r="D596" s="155"/>
      <c r="E596" s="156">
        <v>30</v>
      </c>
      <c r="F596" s="157">
        <v>11173</v>
      </c>
      <c r="G596" s="600">
        <f>SUM(F596:F604)</f>
        <v>33213</v>
      </c>
      <c r="H596" s="688">
        <v>31.5</v>
      </c>
      <c r="I596" s="33">
        <f>H596/E596</f>
        <v>1.05</v>
      </c>
      <c r="J596" s="548">
        <f>F596*I596</f>
        <v>11731.65</v>
      </c>
      <c r="Q596" s="101"/>
      <c r="R596" s="101"/>
      <c r="S596" s="101"/>
    </row>
    <row r="597" spans="1:19" ht="13.5">
      <c r="A597" s="159" t="s">
        <v>52</v>
      </c>
      <c r="B597" s="62"/>
      <c r="C597" s="155" t="s">
        <v>45</v>
      </c>
      <c r="D597" s="155"/>
      <c r="E597" s="156">
        <v>50</v>
      </c>
      <c r="F597" s="157">
        <v>3518</v>
      </c>
      <c r="G597" s="4"/>
      <c r="H597" s="688">
        <v>51.8</v>
      </c>
      <c r="I597" s="33">
        <f>H597/E597</f>
        <v>1.036</v>
      </c>
      <c r="J597" s="548">
        <f>F597*I597</f>
        <v>3644.648</v>
      </c>
      <c r="Q597" s="101"/>
      <c r="R597" s="101"/>
      <c r="S597" s="101"/>
    </row>
    <row r="598" spans="1:19" ht="13.5">
      <c r="A598" s="159" t="s">
        <v>52</v>
      </c>
      <c r="B598" s="62"/>
      <c r="C598" s="155" t="s">
        <v>45</v>
      </c>
      <c r="D598" s="155"/>
      <c r="E598" s="156">
        <v>40</v>
      </c>
      <c r="F598" s="157">
        <v>3593</v>
      </c>
      <c r="G598" s="4"/>
      <c r="H598" s="688">
        <v>41.5</v>
      </c>
      <c r="I598" s="33">
        <f>H598/E598</f>
        <v>1.0375</v>
      </c>
      <c r="J598" s="548">
        <f>F598*I598</f>
        <v>3727.7375</v>
      </c>
      <c r="Q598" s="101"/>
      <c r="R598" s="101"/>
      <c r="S598" s="101"/>
    </row>
    <row r="599" spans="1:19" ht="13.5">
      <c r="A599" s="159" t="s">
        <v>52</v>
      </c>
      <c r="B599" s="62"/>
      <c r="C599" s="155" t="s">
        <v>208</v>
      </c>
      <c r="D599" s="155"/>
      <c r="E599" s="156">
        <v>30</v>
      </c>
      <c r="F599" s="157">
        <v>3431</v>
      </c>
      <c r="G599" s="4"/>
      <c r="H599" s="688">
        <v>31.5</v>
      </c>
      <c r="I599" s="33">
        <f>H599/E599</f>
        <v>1.05</v>
      </c>
      <c r="J599" s="548">
        <f>F599*I599</f>
        <v>3602.55</v>
      </c>
      <c r="Q599" s="101"/>
      <c r="R599" s="101"/>
      <c r="S599" s="101"/>
    </row>
    <row r="600" spans="1:19" ht="13.5">
      <c r="A600" s="159" t="s">
        <v>52</v>
      </c>
      <c r="B600" s="62"/>
      <c r="C600" s="155" t="s">
        <v>208</v>
      </c>
      <c r="D600" s="155"/>
      <c r="E600" s="156">
        <v>50</v>
      </c>
      <c r="F600" s="157">
        <v>1660</v>
      </c>
      <c r="G600" s="4"/>
      <c r="H600" s="688">
        <v>51.8</v>
      </c>
      <c r="I600" s="33">
        <f>H600/E600</f>
        <v>1.036</v>
      </c>
      <c r="J600" s="548">
        <f>F600*I600</f>
        <v>1719.76</v>
      </c>
      <c r="Q600" s="101"/>
      <c r="R600" s="101"/>
      <c r="S600" s="101"/>
    </row>
    <row r="601" spans="1:19" ht="13.5">
      <c r="A601" s="159" t="s">
        <v>52</v>
      </c>
      <c r="B601" s="62"/>
      <c r="C601" s="155" t="s">
        <v>208</v>
      </c>
      <c r="D601" s="155"/>
      <c r="E601" s="156">
        <v>40</v>
      </c>
      <c r="F601" s="157">
        <v>752</v>
      </c>
      <c r="G601" s="4"/>
      <c r="H601" s="688">
        <v>41.5</v>
      </c>
      <c r="I601" s="33">
        <f aca="true" t="shared" si="70" ref="I601:I606">H601/E601</f>
        <v>1.0375</v>
      </c>
      <c r="J601" s="548">
        <f aca="true" t="shared" si="71" ref="J601:J606">F601*I601</f>
        <v>780.2</v>
      </c>
      <c r="N601" s="1218"/>
      <c r="O601" s="1218"/>
      <c r="Q601" s="101"/>
      <c r="R601" s="101"/>
      <c r="S601" s="101"/>
    </row>
    <row r="602" spans="1:19" ht="13.5">
      <c r="A602" s="159" t="s">
        <v>52</v>
      </c>
      <c r="B602" s="62"/>
      <c r="C602" s="155" t="s">
        <v>42</v>
      </c>
      <c r="D602" s="155"/>
      <c r="E602" s="156">
        <v>30</v>
      </c>
      <c r="F602" s="157">
        <v>6198</v>
      </c>
      <c r="G602" s="4"/>
      <c r="H602" s="688">
        <v>31.5</v>
      </c>
      <c r="I602" s="33">
        <f t="shared" si="70"/>
        <v>1.05</v>
      </c>
      <c r="J602" s="548">
        <f t="shared" si="71"/>
        <v>6507.900000000001</v>
      </c>
      <c r="N602" s="1218"/>
      <c r="O602" s="1218"/>
      <c r="Q602" s="101"/>
      <c r="R602" s="101"/>
      <c r="S602" s="101"/>
    </row>
    <row r="603" spans="1:19" ht="13.5">
      <c r="A603" s="159" t="s">
        <v>52</v>
      </c>
      <c r="B603" s="62"/>
      <c r="C603" s="155" t="s">
        <v>42</v>
      </c>
      <c r="D603" s="155"/>
      <c r="E603" s="156">
        <v>50</v>
      </c>
      <c r="F603" s="157">
        <v>1677</v>
      </c>
      <c r="G603" s="4"/>
      <c r="H603" s="688">
        <v>51.8</v>
      </c>
      <c r="I603" s="33">
        <f t="shared" si="70"/>
        <v>1.036</v>
      </c>
      <c r="J603" s="548">
        <f t="shared" si="71"/>
        <v>1737.372</v>
      </c>
      <c r="N603" s="1218"/>
      <c r="O603" s="1218"/>
      <c r="Q603" s="101"/>
      <c r="R603" s="101"/>
      <c r="S603" s="101"/>
    </row>
    <row r="604" spans="1:19" ht="13.5">
      <c r="A604" s="160" t="s">
        <v>52</v>
      </c>
      <c r="B604" s="62"/>
      <c r="C604" s="150" t="s">
        <v>42</v>
      </c>
      <c r="D604" s="150"/>
      <c r="E604" s="161">
        <v>40</v>
      </c>
      <c r="F604" s="893">
        <v>1211</v>
      </c>
      <c r="G604" s="29"/>
      <c r="H604" s="688">
        <v>41.5</v>
      </c>
      <c r="I604" s="33">
        <f t="shared" si="70"/>
        <v>1.0375</v>
      </c>
      <c r="J604" s="548">
        <f t="shared" si="71"/>
        <v>1256.4125000000001</v>
      </c>
      <c r="N604" s="1218"/>
      <c r="O604" s="1218"/>
      <c r="Q604" s="101"/>
      <c r="R604" s="101"/>
      <c r="S604" s="101"/>
    </row>
    <row r="605" spans="1:19" ht="13.5">
      <c r="A605" s="159" t="s">
        <v>106</v>
      </c>
      <c r="B605" s="211"/>
      <c r="C605" s="155" t="s">
        <v>45</v>
      </c>
      <c r="D605" s="155"/>
      <c r="E605" s="156">
        <v>30</v>
      </c>
      <c r="F605" s="157">
        <v>9686</v>
      </c>
      <c r="G605" s="948">
        <f>SUM(F605:F606)</f>
        <v>16984</v>
      </c>
      <c r="H605" s="686">
        <v>32.3</v>
      </c>
      <c r="I605" s="802">
        <f t="shared" si="70"/>
        <v>1.0766666666666667</v>
      </c>
      <c r="J605" s="711">
        <f t="shared" si="71"/>
        <v>10428.593333333334</v>
      </c>
      <c r="N605" s="1218"/>
      <c r="O605" s="1218"/>
      <c r="Q605" s="101"/>
      <c r="R605" s="101"/>
      <c r="S605" s="101"/>
    </row>
    <row r="606" spans="1:19" ht="13.5">
      <c r="A606" s="160" t="s">
        <v>106</v>
      </c>
      <c r="B606" s="719"/>
      <c r="C606" s="150" t="s">
        <v>45</v>
      </c>
      <c r="D606" s="150"/>
      <c r="E606" s="161">
        <v>50</v>
      </c>
      <c r="F606" s="893">
        <v>7298</v>
      </c>
      <c r="G606" s="29"/>
      <c r="H606" s="926">
        <v>53.5</v>
      </c>
      <c r="I606" s="936">
        <f t="shared" si="70"/>
        <v>1.07</v>
      </c>
      <c r="J606" s="937">
        <f t="shared" si="71"/>
        <v>7808.860000000001</v>
      </c>
      <c r="N606" s="1218"/>
      <c r="O606" s="1218"/>
      <c r="Q606" s="101"/>
      <c r="R606" s="101"/>
      <c r="S606" s="101"/>
    </row>
    <row r="607" spans="1:19" ht="13.5">
      <c r="A607" s="159" t="s">
        <v>540</v>
      </c>
      <c r="B607" s="62"/>
      <c r="C607" s="62" t="s">
        <v>45</v>
      </c>
      <c r="D607" s="62"/>
      <c r="E607" s="156">
        <v>30</v>
      </c>
      <c r="F607" s="145">
        <v>3324</v>
      </c>
      <c r="G607" s="600">
        <f>SUM(F607:F614)</f>
        <v>11350</v>
      </c>
      <c r="H607" s="213">
        <v>32.8</v>
      </c>
      <c r="I607" s="710">
        <f aca="true" t="shared" si="72" ref="I607:I628">H607/E607</f>
        <v>1.0933333333333333</v>
      </c>
      <c r="J607" s="711">
        <f aca="true" t="shared" si="73" ref="J607:J628">F607*I607</f>
        <v>3634.24</v>
      </c>
      <c r="N607" s="1218"/>
      <c r="O607" s="1218"/>
      <c r="P607" s="166"/>
      <c r="Q607" s="101"/>
      <c r="R607" s="101"/>
      <c r="S607" s="101"/>
    </row>
    <row r="608" spans="1:19" ht="13.5">
      <c r="A608" s="159" t="s">
        <v>541</v>
      </c>
      <c r="B608" s="62"/>
      <c r="C608" s="62" t="s">
        <v>40</v>
      </c>
      <c r="D608" s="62"/>
      <c r="E608" s="156">
        <v>30</v>
      </c>
      <c r="F608" s="145">
        <v>1477</v>
      </c>
      <c r="H608" s="213">
        <v>32.8</v>
      </c>
      <c r="I608" s="33">
        <f t="shared" si="72"/>
        <v>1.0933333333333333</v>
      </c>
      <c r="J608" s="548">
        <f t="shared" si="73"/>
        <v>1614.8533333333332</v>
      </c>
      <c r="N608" s="1218"/>
      <c r="O608" s="1218"/>
      <c r="P608" s="166"/>
      <c r="Q608" s="101"/>
      <c r="R608" s="101"/>
      <c r="S608" s="101"/>
    </row>
    <row r="609" spans="1:19" ht="13.5">
      <c r="A609" s="159" t="s">
        <v>540</v>
      </c>
      <c r="B609" s="62"/>
      <c r="C609" s="62" t="s">
        <v>45</v>
      </c>
      <c r="D609" s="62"/>
      <c r="E609" s="156">
        <v>50</v>
      </c>
      <c r="F609" s="145">
        <v>2747</v>
      </c>
      <c r="H609" s="213">
        <v>54</v>
      </c>
      <c r="I609" s="33">
        <f t="shared" si="72"/>
        <v>1.08</v>
      </c>
      <c r="J609" s="548">
        <f t="shared" si="73"/>
        <v>2966.76</v>
      </c>
      <c r="N609" s="1218"/>
      <c r="O609" s="1218"/>
      <c r="P609" s="166"/>
      <c r="Q609" s="101"/>
      <c r="R609" s="101"/>
      <c r="S609" s="101"/>
    </row>
    <row r="610" spans="1:19" ht="13.5">
      <c r="A610" s="159" t="s">
        <v>541</v>
      </c>
      <c r="B610" s="62"/>
      <c r="C610" s="62" t="s">
        <v>40</v>
      </c>
      <c r="D610" s="62"/>
      <c r="E610" s="156">
        <v>50</v>
      </c>
      <c r="F610" s="145">
        <v>932</v>
      </c>
      <c r="H610" s="213">
        <v>54</v>
      </c>
      <c r="I610" s="33">
        <f t="shared" si="72"/>
        <v>1.08</v>
      </c>
      <c r="J610" s="548">
        <f t="shared" si="73"/>
        <v>1006.5600000000001</v>
      </c>
      <c r="N610" s="1218"/>
      <c r="O610" s="1218"/>
      <c r="P610" s="166"/>
      <c r="Q610" s="101"/>
      <c r="R610" s="101"/>
      <c r="S610" s="101"/>
    </row>
    <row r="611" spans="1:19" ht="13.5">
      <c r="A611" s="155" t="s">
        <v>540</v>
      </c>
      <c r="B611" s="62"/>
      <c r="C611" s="62" t="s">
        <v>706</v>
      </c>
      <c r="D611" s="62"/>
      <c r="E611" s="156">
        <v>30</v>
      </c>
      <c r="F611" s="145">
        <v>1357</v>
      </c>
      <c r="H611" s="213">
        <v>32.8</v>
      </c>
      <c r="I611" s="33">
        <f t="shared" si="72"/>
        <v>1.0933333333333333</v>
      </c>
      <c r="J611" s="548">
        <f t="shared" si="73"/>
        <v>1483.6533333333332</v>
      </c>
      <c r="N611" s="1218"/>
      <c r="O611" s="1218"/>
      <c r="P611" s="166"/>
      <c r="Q611" s="101"/>
      <c r="R611" s="101"/>
      <c r="S611" s="101"/>
    </row>
    <row r="612" spans="1:19" ht="13.5">
      <c r="A612" s="155" t="s">
        <v>541</v>
      </c>
      <c r="B612" s="62"/>
      <c r="C612" s="62" t="s">
        <v>706</v>
      </c>
      <c r="D612" s="62"/>
      <c r="E612" s="156">
        <v>30</v>
      </c>
      <c r="F612" s="145">
        <v>463</v>
      </c>
      <c r="H612" s="213">
        <v>32.8</v>
      </c>
      <c r="I612" s="33">
        <f t="shared" si="72"/>
        <v>1.0933333333333333</v>
      </c>
      <c r="J612" s="548">
        <f t="shared" si="73"/>
        <v>506.2133333333333</v>
      </c>
      <c r="N612" s="1218"/>
      <c r="O612" s="1218"/>
      <c r="P612" s="166"/>
      <c r="Q612" s="101"/>
      <c r="R612" s="101"/>
      <c r="S612" s="101"/>
    </row>
    <row r="613" spans="1:19" ht="13.5">
      <c r="A613" s="155" t="s">
        <v>540</v>
      </c>
      <c r="B613" s="62"/>
      <c r="C613" s="62" t="s">
        <v>706</v>
      </c>
      <c r="D613" s="62"/>
      <c r="E613" s="156">
        <v>50</v>
      </c>
      <c r="F613" s="145">
        <v>837</v>
      </c>
      <c r="H613" s="213">
        <v>54</v>
      </c>
      <c r="I613" s="33">
        <f t="shared" si="72"/>
        <v>1.08</v>
      </c>
      <c r="J613" s="548">
        <f t="shared" si="73"/>
        <v>903.96</v>
      </c>
      <c r="N613" s="1218"/>
      <c r="O613" s="1218"/>
      <c r="P613" s="166"/>
      <c r="Q613" s="101"/>
      <c r="R613" s="101"/>
      <c r="S613" s="101"/>
    </row>
    <row r="614" spans="1:19" ht="13.5">
      <c r="A614" s="155" t="s">
        <v>541</v>
      </c>
      <c r="B614" s="62"/>
      <c r="C614" s="62" t="s">
        <v>706</v>
      </c>
      <c r="D614" s="62"/>
      <c r="E614" s="156">
        <v>50</v>
      </c>
      <c r="F614" s="145">
        <v>213</v>
      </c>
      <c r="H614" s="213">
        <v>54</v>
      </c>
      <c r="I614" s="33">
        <f t="shared" si="72"/>
        <v>1.08</v>
      </c>
      <c r="J614" s="548">
        <f t="shared" si="73"/>
        <v>230.04000000000002</v>
      </c>
      <c r="N614" s="1218"/>
      <c r="O614" s="1218"/>
      <c r="P614" s="166"/>
      <c r="Q614" s="101"/>
      <c r="R614" s="101"/>
      <c r="S614" s="101"/>
    </row>
    <row r="615" spans="1:19" ht="13.5">
      <c r="A615" s="211" t="s">
        <v>543</v>
      </c>
      <c r="B615" s="211"/>
      <c r="C615" s="211" t="s">
        <v>546</v>
      </c>
      <c r="D615" s="211"/>
      <c r="E615" s="628">
        <v>30</v>
      </c>
      <c r="F615" s="651">
        <v>17006</v>
      </c>
      <c r="G615" s="948">
        <f>SUM(F615:F620)</f>
        <v>32742</v>
      </c>
      <c r="H615" s="927">
        <v>31</v>
      </c>
      <c r="I615" s="710">
        <f t="shared" si="72"/>
        <v>1.0333333333333334</v>
      </c>
      <c r="J615" s="711">
        <f t="shared" si="73"/>
        <v>17572.86666666667</v>
      </c>
      <c r="N615" s="1218"/>
      <c r="O615" s="1218"/>
      <c r="P615" s="166"/>
      <c r="Q615" s="101"/>
      <c r="R615" s="101"/>
      <c r="S615" s="101"/>
    </row>
    <row r="616" spans="1:19" ht="13.5">
      <c r="A616" s="62" t="s">
        <v>543</v>
      </c>
      <c r="B616" s="62"/>
      <c r="C616" s="62" t="s">
        <v>546</v>
      </c>
      <c r="D616" s="62"/>
      <c r="E616" s="156">
        <v>50</v>
      </c>
      <c r="F616" s="145">
        <v>4489</v>
      </c>
      <c r="H616" s="213">
        <v>50</v>
      </c>
      <c r="I616" s="33">
        <f t="shared" si="72"/>
        <v>1</v>
      </c>
      <c r="J616" s="548">
        <f t="shared" si="73"/>
        <v>4489</v>
      </c>
      <c r="N616" s="1218"/>
      <c r="O616" s="1218"/>
      <c r="P616" s="166"/>
      <c r="Q616" s="101"/>
      <c r="R616" s="101"/>
      <c r="S616" s="101"/>
    </row>
    <row r="617" spans="1:19" ht="13.5">
      <c r="A617" s="62" t="s">
        <v>543</v>
      </c>
      <c r="B617" s="62"/>
      <c r="C617" s="62" t="s">
        <v>546</v>
      </c>
      <c r="D617" s="62"/>
      <c r="E617" s="156">
        <v>40</v>
      </c>
      <c r="F617" s="145">
        <v>2691</v>
      </c>
      <c r="H617" s="213">
        <v>39.9</v>
      </c>
      <c r="I617" s="33">
        <f t="shared" si="72"/>
        <v>0.9974999999999999</v>
      </c>
      <c r="J617" s="548">
        <f t="shared" si="73"/>
        <v>2684.2725</v>
      </c>
      <c r="N617" s="1218"/>
      <c r="O617" s="1218"/>
      <c r="P617" s="166"/>
      <c r="Q617" s="101"/>
      <c r="R617" s="101"/>
      <c r="S617" s="101"/>
    </row>
    <row r="618" spans="1:19" ht="13.5">
      <c r="A618" s="62" t="s">
        <v>707</v>
      </c>
      <c r="B618" s="62"/>
      <c r="C618" s="62" t="s">
        <v>359</v>
      </c>
      <c r="D618" s="62"/>
      <c r="E618" s="156">
        <v>30</v>
      </c>
      <c r="F618" s="145">
        <v>4247</v>
      </c>
      <c r="H618" s="213">
        <v>29.9</v>
      </c>
      <c r="I618" s="33">
        <f t="shared" si="72"/>
        <v>0.9966666666666666</v>
      </c>
      <c r="J618" s="548">
        <f t="shared" si="73"/>
        <v>4232.843333333333</v>
      </c>
      <c r="N618" s="1218"/>
      <c r="O618" s="1218"/>
      <c r="P618" s="166"/>
      <c r="Q618" s="101"/>
      <c r="R618" s="101"/>
      <c r="S618" s="101"/>
    </row>
    <row r="619" spans="1:19" ht="13.5">
      <c r="A619" s="62" t="s">
        <v>543</v>
      </c>
      <c r="B619" s="62"/>
      <c r="C619" s="62" t="s">
        <v>544</v>
      </c>
      <c r="D619" s="62"/>
      <c r="E619" s="156">
        <v>30</v>
      </c>
      <c r="F619" s="145">
        <v>2590</v>
      </c>
      <c r="H619" s="213">
        <v>26.5</v>
      </c>
      <c r="I619" s="33">
        <f t="shared" si="72"/>
        <v>0.8833333333333333</v>
      </c>
      <c r="J619" s="548">
        <f t="shared" si="73"/>
        <v>2287.833333333333</v>
      </c>
      <c r="N619" s="1218"/>
      <c r="O619" s="1218"/>
      <c r="P619" s="166"/>
      <c r="Q619" s="101"/>
      <c r="R619" s="101"/>
      <c r="S619" s="101"/>
    </row>
    <row r="620" spans="1:19" ht="13.5">
      <c r="A620" s="62" t="s">
        <v>543</v>
      </c>
      <c r="B620" s="62"/>
      <c r="C620" s="62" t="s">
        <v>545</v>
      </c>
      <c r="D620" s="62"/>
      <c r="E620" s="156">
        <v>30</v>
      </c>
      <c r="F620" s="145">
        <v>1719</v>
      </c>
      <c r="H620" s="213">
        <v>26.5</v>
      </c>
      <c r="I620" s="33">
        <f t="shared" si="72"/>
        <v>0.8833333333333333</v>
      </c>
      <c r="J620" s="548">
        <f t="shared" si="73"/>
        <v>1518.45</v>
      </c>
      <c r="N620" s="1218"/>
      <c r="O620" s="1218"/>
      <c r="P620" s="166"/>
      <c r="Q620" s="101"/>
      <c r="R620" s="101"/>
      <c r="S620" s="101"/>
    </row>
    <row r="621" spans="1:19" ht="13.5">
      <c r="A621" s="159" t="s">
        <v>107</v>
      </c>
      <c r="B621" s="62"/>
      <c r="C621" s="62" t="s">
        <v>45</v>
      </c>
      <c r="D621" s="62"/>
      <c r="E621" s="156">
        <v>30</v>
      </c>
      <c r="F621" s="145">
        <v>969</v>
      </c>
      <c r="G621" s="600">
        <f>SUM(F621:F622)</f>
        <v>1916</v>
      </c>
      <c r="H621" s="213">
        <v>32.3</v>
      </c>
      <c r="I621" s="33">
        <f t="shared" si="72"/>
        <v>1.0766666666666667</v>
      </c>
      <c r="J621" s="548">
        <f t="shared" si="73"/>
        <v>1043.29</v>
      </c>
      <c r="N621" s="1218"/>
      <c r="O621" s="1218"/>
      <c r="P621" s="166"/>
      <c r="Q621" s="101"/>
      <c r="R621" s="101"/>
      <c r="S621" s="101"/>
    </row>
    <row r="622" spans="1:19" ht="13.5">
      <c r="A622" s="159" t="s">
        <v>107</v>
      </c>
      <c r="B622" s="62"/>
      <c r="C622" s="62" t="s">
        <v>45</v>
      </c>
      <c r="D622" s="62"/>
      <c r="E622" s="156">
        <v>50</v>
      </c>
      <c r="F622" s="145">
        <v>947</v>
      </c>
      <c r="H622" s="928">
        <v>53.5</v>
      </c>
      <c r="I622" s="33">
        <f t="shared" si="72"/>
        <v>1.07</v>
      </c>
      <c r="J622" s="548">
        <f t="shared" si="73"/>
        <v>1013.2900000000001</v>
      </c>
      <c r="Q622" s="101"/>
      <c r="R622" s="101"/>
      <c r="S622" s="101"/>
    </row>
    <row r="623" spans="1:19" ht="13.5">
      <c r="A623" s="62" t="s">
        <v>542</v>
      </c>
      <c r="B623" s="62"/>
      <c r="C623" s="62" t="s">
        <v>45</v>
      </c>
      <c r="D623" s="62"/>
      <c r="E623" s="156">
        <v>30</v>
      </c>
      <c r="F623" s="145">
        <v>183</v>
      </c>
      <c r="G623" s="314">
        <f>F623</f>
        <v>183</v>
      </c>
      <c r="H623" s="928">
        <v>31.5</v>
      </c>
      <c r="I623" s="33">
        <f t="shared" si="72"/>
        <v>1.05</v>
      </c>
      <c r="J623" s="548">
        <f t="shared" si="73"/>
        <v>192.15</v>
      </c>
      <c r="Q623" s="101"/>
      <c r="R623" s="101"/>
      <c r="S623" s="101"/>
    </row>
    <row r="624" spans="1:19" ht="13.5">
      <c r="A624" s="159" t="s">
        <v>108</v>
      </c>
      <c r="B624" s="211"/>
      <c r="C624" s="642" t="s">
        <v>45</v>
      </c>
      <c r="D624" s="155"/>
      <c r="E624" s="156">
        <v>30</v>
      </c>
      <c r="F624" s="894">
        <v>30236</v>
      </c>
      <c r="G624" s="611">
        <f>SUM(F624:F628)</f>
        <v>52684</v>
      </c>
      <c r="H624" s="686">
        <v>29.9</v>
      </c>
      <c r="I624" s="710">
        <f t="shared" si="72"/>
        <v>0.9966666666666666</v>
      </c>
      <c r="J624" s="711">
        <f t="shared" si="73"/>
        <v>30135.21333333333</v>
      </c>
      <c r="Q624" s="101"/>
      <c r="R624" s="101"/>
      <c r="S624" s="101"/>
    </row>
    <row r="625" spans="1:19" ht="13.5">
      <c r="A625" s="159" t="s">
        <v>108</v>
      </c>
      <c r="B625" s="62"/>
      <c r="C625" s="642" t="s">
        <v>45</v>
      </c>
      <c r="D625" s="155"/>
      <c r="E625" s="156">
        <v>33</v>
      </c>
      <c r="F625" s="157">
        <v>1</v>
      </c>
      <c r="G625" s="4"/>
      <c r="H625" s="688">
        <v>29.9</v>
      </c>
      <c r="I625" s="33">
        <f t="shared" si="72"/>
        <v>0.906060606060606</v>
      </c>
      <c r="J625" s="548">
        <f t="shared" si="73"/>
        <v>0.906060606060606</v>
      </c>
      <c r="Q625" s="101"/>
      <c r="R625" s="101"/>
      <c r="S625" s="101"/>
    </row>
    <row r="626" spans="1:19" ht="13.5">
      <c r="A626" s="159" t="s">
        <v>108</v>
      </c>
      <c r="B626" s="62"/>
      <c r="C626" s="642" t="s">
        <v>45</v>
      </c>
      <c r="D626" s="155"/>
      <c r="E626" s="156">
        <v>40</v>
      </c>
      <c r="F626" s="157">
        <v>12354</v>
      </c>
      <c r="G626" s="4"/>
      <c r="H626" s="688">
        <v>38.9</v>
      </c>
      <c r="I626" s="33">
        <f t="shared" si="72"/>
        <v>0.9724999999999999</v>
      </c>
      <c r="J626" s="548">
        <f t="shared" si="73"/>
        <v>12014.265</v>
      </c>
      <c r="Q626" s="101"/>
      <c r="R626" s="101"/>
      <c r="S626" s="101"/>
    </row>
    <row r="627" spans="1:19" ht="13.5">
      <c r="A627" s="159" t="s">
        <v>108</v>
      </c>
      <c r="B627" s="62"/>
      <c r="C627" s="642" t="s">
        <v>45</v>
      </c>
      <c r="D627" s="155"/>
      <c r="E627" s="156">
        <v>50</v>
      </c>
      <c r="F627" s="157">
        <v>9566</v>
      </c>
      <c r="G627" s="4"/>
      <c r="H627" s="688">
        <v>48.9</v>
      </c>
      <c r="I627" s="33">
        <f t="shared" si="72"/>
        <v>0.978</v>
      </c>
      <c r="J627" s="548">
        <f t="shared" si="73"/>
        <v>9355.548</v>
      </c>
      <c r="Q627" s="101"/>
      <c r="R627" s="101"/>
      <c r="S627" s="101"/>
    </row>
    <row r="628" spans="1:19" ht="13.5">
      <c r="A628" s="155" t="s">
        <v>708</v>
      </c>
      <c r="B628" s="62"/>
      <c r="C628" s="642" t="s">
        <v>709</v>
      </c>
      <c r="D628" s="155"/>
      <c r="E628" s="162">
        <v>30</v>
      </c>
      <c r="F628" s="1094">
        <v>527</v>
      </c>
      <c r="G628" s="4"/>
      <c r="H628" s="688">
        <v>29.9</v>
      </c>
      <c r="I628" s="936">
        <f t="shared" si="72"/>
        <v>0.9966666666666666</v>
      </c>
      <c r="J628" s="1093">
        <f t="shared" si="73"/>
        <v>525.2433333333333</v>
      </c>
      <c r="Q628" s="101"/>
      <c r="R628" s="101"/>
      <c r="S628" s="101"/>
    </row>
    <row r="629" spans="1:19" ht="13.5">
      <c r="A629" s="173" t="s">
        <v>111</v>
      </c>
      <c r="B629" s="848"/>
      <c r="C629" s="173"/>
      <c r="D629" s="173"/>
      <c r="E629" s="849"/>
      <c r="F629" s="723">
        <f>SUM(F596:F628)</f>
        <v>149072</v>
      </c>
      <c r="G629" s="723">
        <f>SUM(G596:G628)</f>
        <v>149072</v>
      </c>
      <c r="H629" s="687" t="s">
        <v>386</v>
      </c>
      <c r="I629" s="850">
        <f>J629/G629</f>
        <v>1.0220372363283474</v>
      </c>
      <c r="J629" s="851">
        <f>SUM(J596:J628)</f>
        <v>152357.13489393942</v>
      </c>
      <c r="K629" s="54"/>
      <c r="L629" s="54"/>
      <c r="Q629" s="101"/>
      <c r="R629" s="101"/>
      <c r="S629" s="101"/>
    </row>
    <row r="630" spans="1:19" ht="13.5">
      <c r="A630" s="146" t="s">
        <v>3</v>
      </c>
      <c r="B630" s="211"/>
      <c r="C630" s="147"/>
      <c r="D630" s="147"/>
      <c r="E630" s="689"/>
      <c r="F630" s="652"/>
      <c r="G630" s="736">
        <v>316</v>
      </c>
      <c r="H630" s="686"/>
      <c r="I630" s="653"/>
      <c r="J630" s="654"/>
      <c r="K630" s="314"/>
      <c r="L630" s="314"/>
      <c r="Q630" s="101"/>
      <c r="R630" s="101"/>
      <c r="S630" s="101"/>
    </row>
    <row r="631" spans="1:19" ht="13.5">
      <c r="A631" s="154" t="s">
        <v>502</v>
      </c>
      <c r="B631" s="63"/>
      <c r="C631" s="155" t="s">
        <v>173</v>
      </c>
      <c r="D631" s="155"/>
      <c r="E631" s="162">
        <v>30</v>
      </c>
      <c r="F631" s="895">
        <v>309</v>
      </c>
      <c r="G631" s="602"/>
      <c r="H631" s="213">
        <v>32</v>
      </c>
      <c r="I631" s="929"/>
      <c r="J631" s="930"/>
      <c r="K631" s="314"/>
      <c r="L631" s="314"/>
      <c r="Q631" s="101"/>
      <c r="R631" s="101"/>
      <c r="S631" s="101"/>
    </row>
    <row r="632" spans="1:19" ht="13.5">
      <c r="A632" s="154" t="s">
        <v>55</v>
      </c>
      <c r="B632" s="62"/>
      <c r="C632" s="155" t="s">
        <v>173</v>
      </c>
      <c r="D632" s="155"/>
      <c r="E632" s="162">
        <v>50</v>
      </c>
      <c r="F632" s="895">
        <v>7</v>
      </c>
      <c r="G632" s="4"/>
      <c r="H632" s="213">
        <v>42</v>
      </c>
      <c r="I632" s="33">
        <f>H632/E632</f>
        <v>0.84</v>
      </c>
      <c r="J632" s="548">
        <f>F632*I632</f>
        <v>5.88</v>
      </c>
      <c r="Q632" s="101"/>
      <c r="R632" s="101"/>
      <c r="S632" s="101"/>
    </row>
    <row r="633" spans="1:19" ht="13.5">
      <c r="A633" s="146" t="s">
        <v>467</v>
      </c>
      <c r="B633" s="211"/>
      <c r="C633" s="147"/>
      <c r="D633" s="147"/>
      <c r="E633" s="689"/>
      <c r="F633" s="652"/>
      <c r="G633" s="650"/>
      <c r="H633" s="686"/>
      <c r="I633" s="653"/>
      <c r="J633" s="654"/>
      <c r="Q633" s="101"/>
      <c r="R633" s="101"/>
      <c r="S633" s="101"/>
    </row>
    <row r="634" spans="1:19" ht="13.5">
      <c r="A634" s="154" t="s">
        <v>2</v>
      </c>
      <c r="B634" s="63"/>
      <c r="C634" s="155" t="s">
        <v>451</v>
      </c>
      <c r="D634" s="155"/>
      <c r="E634" s="162">
        <v>40</v>
      </c>
      <c r="F634" s="895">
        <v>235.8</v>
      </c>
      <c r="G634" s="602">
        <f>F634</f>
        <v>235.8</v>
      </c>
      <c r="H634" s="213">
        <v>31.5</v>
      </c>
      <c r="I634" s="734">
        <f>H634/E634</f>
        <v>0.7875</v>
      </c>
      <c r="J634" s="735">
        <f>F634*I634</f>
        <v>185.6925</v>
      </c>
      <c r="Q634" s="101"/>
      <c r="R634" s="101"/>
      <c r="S634" s="101"/>
    </row>
    <row r="635" spans="1:19" ht="13.5">
      <c r="A635" s="154" t="s">
        <v>469</v>
      </c>
      <c r="B635" s="63"/>
      <c r="C635" s="155"/>
      <c r="D635" s="155"/>
      <c r="E635" s="162"/>
      <c r="F635" s="1092"/>
      <c r="G635" s="602">
        <f>SUM(F636:F640)</f>
        <v>3344.65</v>
      </c>
      <c r="H635" s="213"/>
      <c r="I635" s="929"/>
      <c r="J635" s="930"/>
      <c r="Q635" s="101"/>
      <c r="R635" s="101"/>
      <c r="S635" s="101"/>
    </row>
    <row r="636" spans="1:19" ht="13.5">
      <c r="A636" s="159" t="s">
        <v>126</v>
      </c>
      <c r="B636" s="62"/>
      <c r="C636" s="155"/>
      <c r="D636" s="155"/>
      <c r="E636" s="162">
        <v>30</v>
      </c>
      <c r="F636" s="895">
        <v>212</v>
      </c>
      <c r="G636" s="644"/>
      <c r="H636" s="688">
        <v>29.9</v>
      </c>
      <c r="I636" s="33">
        <f aca="true" t="shared" si="74" ref="I636:I648">H636/E636</f>
        <v>0.9966666666666666</v>
      </c>
      <c r="J636" s="548">
        <f aca="true" t="shared" si="75" ref="J636:J648">F636*I636</f>
        <v>211.29333333333332</v>
      </c>
      <c r="Q636" s="101"/>
      <c r="R636" s="101"/>
      <c r="S636" s="101"/>
    </row>
    <row r="637" spans="1:19" ht="13.5">
      <c r="A637" s="159" t="s">
        <v>174</v>
      </c>
      <c r="B637" s="62" t="s">
        <v>232</v>
      </c>
      <c r="C637" s="155" t="s">
        <v>711</v>
      </c>
      <c r="D637" s="155"/>
      <c r="E637" s="162">
        <v>30</v>
      </c>
      <c r="F637" s="895">
        <v>1237</v>
      </c>
      <c r="G637" s="644"/>
      <c r="H637" s="688">
        <v>29.5</v>
      </c>
      <c r="I637" s="33">
        <f t="shared" si="74"/>
        <v>0.9833333333333333</v>
      </c>
      <c r="J637" s="548">
        <f t="shared" si="75"/>
        <v>1216.3833333333332</v>
      </c>
      <c r="Q637" s="101"/>
      <c r="R637" s="101"/>
      <c r="S637" s="101"/>
    </row>
    <row r="638" spans="1:19" ht="13.5">
      <c r="A638" s="159" t="s">
        <v>175</v>
      </c>
      <c r="B638" s="62"/>
      <c r="C638" s="155"/>
      <c r="D638" s="155"/>
      <c r="E638" s="162">
        <v>30</v>
      </c>
      <c r="F638" s="895">
        <v>1790</v>
      </c>
      <c r="G638" s="644"/>
      <c r="H638" s="688">
        <v>29.5</v>
      </c>
      <c r="I638" s="33">
        <f t="shared" si="74"/>
        <v>0.9833333333333333</v>
      </c>
      <c r="J638" s="548">
        <f t="shared" si="75"/>
        <v>1760.1666666666665</v>
      </c>
      <c r="Q638" s="101"/>
      <c r="R638" s="101"/>
      <c r="S638" s="101"/>
    </row>
    <row r="639" spans="1:19" ht="13.5">
      <c r="A639" s="159" t="s">
        <v>176</v>
      </c>
      <c r="B639" s="62"/>
      <c r="C639" s="155"/>
      <c r="D639" s="155"/>
      <c r="E639" s="162">
        <v>35</v>
      </c>
      <c r="F639" s="895">
        <v>104</v>
      </c>
      <c r="G639" s="644"/>
      <c r="H639" s="688">
        <v>38</v>
      </c>
      <c r="I639" s="33">
        <f t="shared" si="74"/>
        <v>1.0857142857142856</v>
      </c>
      <c r="J639" s="548">
        <f t="shared" si="75"/>
        <v>112.91428571428571</v>
      </c>
      <c r="Q639" s="101"/>
      <c r="R639" s="101"/>
      <c r="S639" s="101"/>
    </row>
    <row r="640" spans="1:19" ht="13.5">
      <c r="A640" s="159" t="s">
        <v>712</v>
      </c>
      <c r="B640" s="62"/>
      <c r="C640" s="155"/>
      <c r="D640" s="155"/>
      <c r="E640" s="162">
        <v>30</v>
      </c>
      <c r="F640" s="895">
        <v>1.65</v>
      </c>
      <c r="G640" s="644"/>
      <c r="H640" s="688">
        <v>27.9</v>
      </c>
      <c r="I640" s="158">
        <f t="shared" si="74"/>
        <v>0.9299999999999999</v>
      </c>
      <c r="J640" s="548">
        <f t="shared" si="75"/>
        <v>1.5344999999999998</v>
      </c>
      <c r="Q640" s="101"/>
      <c r="R640" s="101"/>
      <c r="S640" s="101"/>
    </row>
    <row r="641" spans="1:19" ht="13.5">
      <c r="A641" s="146" t="s">
        <v>570</v>
      </c>
      <c r="B641" s="211"/>
      <c r="C641" s="147"/>
      <c r="D641" s="147"/>
      <c r="E641" s="689"/>
      <c r="F641" s="652"/>
      <c r="G641" s="736">
        <f>SUM(F642:F646)</f>
        <v>2359.81</v>
      </c>
      <c r="H641" s="686"/>
      <c r="I641" s="802"/>
      <c r="J641" s="711"/>
      <c r="Q641" s="101"/>
      <c r="R641" s="101"/>
      <c r="S641" s="101"/>
    </row>
    <row r="642" spans="1:19" ht="13.5">
      <c r="A642" s="159" t="s">
        <v>607</v>
      </c>
      <c r="B642" s="62"/>
      <c r="C642" s="155"/>
      <c r="D642" s="155"/>
      <c r="E642" s="162">
        <v>30</v>
      </c>
      <c r="F642" s="895">
        <v>499.35</v>
      </c>
      <c r="G642" s="644"/>
      <c r="H642" s="688">
        <v>28</v>
      </c>
      <c r="I642" s="33">
        <f t="shared" si="74"/>
        <v>0.9333333333333333</v>
      </c>
      <c r="J642" s="548">
        <f t="shared" si="75"/>
        <v>466.06</v>
      </c>
      <c r="Q642" s="101"/>
      <c r="R642" s="101"/>
      <c r="S642" s="101"/>
    </row>
    <row r="643" spans="1:19" ht="13.5">
      <c r="A643" s="159" t="s">
        <v>608</v>
      </c>
      <c r="B643" s="62"/>
      <c r="C643" s="155"/>
      <c r="D643" s="155"/>
      <c r="E643" s="162">
        <v>30</v>
      </c>
      <c r="F643" s="895">
        <v>665</v>
      </c>
      <c r="G643" s="644"/>
      <c r="H643" s="688">
        <v>28</v>
      </c>
      <c r="I643" s="33">
        <f t="shared" si="74"/>
        <v>0.9333333333333333</v>
      </c>
      <c r="J643" s="548">
        <f t="shared" si="75"/>
        <v>620.6666666666666</v>
      </c>
      <c r="Q643" s="101"/>
      <c r="R643" s="101"/>
      <c r="S643" s="101"/>
    </row>
    <row r="644" spans="1:19" ht="13.5">
      <c r="A644" s="159" t="s">
        <v>609</v>
      </c>
      <c r="B644" s="62"/>
      <c r="C644" s="155"/>
      <c r="D644" s="155"/>
      <c r="E644" s="162">
        <v>30</v>
      </c>
      <c r="F644" s="895">
        <v>1155</v>
      </c>
      <c r="G644" s="644"/>
      <c r="H644" s="688">
        <v>28</v>
      </c>
      <c r="I644" s="33">
        <f t="shared" si="74"/>
        <v>0.9333333333333333</v>
      </c>
      <c r="J644" s="548">
        <f t="shared" si="75"/>
        <v>1078</v>
      </c>
      <c r="Q644" s="101"/>
      <c r="R644" s="101"/>
      <c r="S644" s="101"/>
    </row>
    <row r="645" spans="1:19" ht="13.5">
      <c r="A645" s="159" t="s">
        <v>713</v>
      </c>
      <c r="B645" s="62"/>
      <c r="C645" s="155"/>
      <c r="D645" s="155"/>
      <c r="E645" s="162">
        <v>30</v>
      </c>
      <c r="F645" s="895">
        <v>26</v>
      </c>
      <c r="G645" s="644"/>
      <c r="H645" s="688">
        <v>29.5</v>
      </c>
      <c r="I645" s="158">
        <f t="shared" si="74"/>
        <v>0.9833333333333333</v>
      </c>
      <c r="J645" s="548">
        <f t="shared" si="75"/>
        <v>25.566666666666666</v>
      </c>
      <c r="Q645" s="101"/>
      <c r="R645" s="101"/>
      <c r="S645" s="101"/>
    </row>
    <row r="646" spans="1:19" ht="13.5">
      <c r="A646" s="159" t="s">
        <v>714</v>
      </c>
      <c r="B646" s="62"/>
      <c r="C646" s="155"/>
      <c r="D646" s="155"/>
      <c r="E646" s="162">
        <v>30</v>
      </c>
      <c r="F646" s="895">
        <v>14.46</v>
      </c>
      <c r="G646" s="644"/>
      <c r="H646" s="688">
        <v>29.5</v>
      </c>
      <c r="I646" s="158">
        <f t="shared" si="74"/>
        <v>0.9833333333333333</v>
      </c>
      <c r="J646" s="548">
        <f t="shared" si="75"/>
        <v>14.219</v>
      </c>
      <c r="Q646" s="101"/>
      <c r="R646" s="101"/>
      <c r="S646" s="101"/>
    </row>
    <row r="647" spans="1:19" ht="13.5">
      <c r="A647" s="170" t="s">
        <v>721</v>
      </c>
      <c r="B647" s="211"/>
      <c r="C647" s="147"/>
      <c r="D647" s="147"/>
      <c r="E647" s="628"/>
      <c r="F647" s="652"/>
      <c r="G647" s="736">
        <f>SUM(F648:F650)</f>
        <v>83.26</v>
      </c>
      <c r="H647" s="686"/>
      <c r="I647" s="653"/>
      <c r="J647" s="654"/>
      <c r="Q647" s="101"/>
      <c r="R647" s="101"/>
      <c r="S647" s="101"/>
    </row>
    <row r="648" spans="1:19" ht="13.5">
      <c r="A648" s="159" t="s">
        <v>552</v>
      </c>
      <c r="B648" s="932"/>
      <c r="C648" s="155"/>
      <c r="D648" s="155"/>
      <c r="E648" s="162">
        <v>35</v>
      </c>
      <c r="F648" s="895">
        <v>17.5</v>
      </c>
      <c r="G648" s="58"/>
      <c r="H648" s="213">
        <v>39.5</v>
      </c>
      <c r="I648" s="33">
        <f t="shared" si="74"/>
        <v>1.1285714285714286</v>
      </c>
      <c r="J648" s="548">
        <f t="shared" si="75"/>
        <v>19.75</v>
      </c>
      <c r="Q648" s="101"/>
      <c r="R648" s="101"/>
      <c r="S648" s="101"/>
    </row>
    <row r="649" spans="1:19" ht="13.5">
      <c r="A649" s="159" t="s">
        <v>472</v>
      </c>
      <c r="B649" s="62"/>
      <c r="C649" s="155"/>
      <c r="D649" s="155"/>
      <c r="E649" s="162">
        <v>40</v>
      </c>
      <c r="F649" s="895">
        <v>24.92</v>
      </c>
      <c r="G649" s="58"/>
      <c r="H649" s="213">
        <v>49.95</v>
      </c>
      <c r="I649" s="33">
        <f>H649/E649</f>
        <v>1.24875</v>
      </c>
      <c r="J649" s="548">
        <f>F649*I649</f>
        <v>31.118850000000002</v>
      </c>
      <c r="Q649" s="101"/>
      <c r="R649" s="101"/>
      <c r="S649" s="101"/>
    </row>
    <row r="650" spans="1:19" ht="13.5">
      <c r="A650" s="159" t="s">
        <v>472</v>
      </c>
      <c r="B650" s="62"/>
      <c r="C650" s="155" t="s">
        <v>715</v>
      </c>
      <c r="D650" s="155"/>
      <c r="E650" s="162">
        <v>40</v>
      </c>
      <c r="F650" s="895">
        <v>40.84</v>
      </c>
      <c r="G650" s="58"/>
      <c r="H650" s="213">
        <v>49.95</v>
      </c>
      <c r="I650" s="33">
        <f>H650/E650</f>
        <v>1.24875</v>
      </c>
      <c r="J650" s="548">
        <f>F650*I650</f>
        <v>50.99895000000001</v>
      </c>
      <c r="Q650" s="101"/>
      <c r="R650" s="101"/>
      <c r="S650" s="101"/>
    </row>
    <row r="651" spans="1:19" ht="12.75">
      <c r="A651" s="146" t="s">
        <v>720</v>
      </c>
      <c r="B651" s="211"/>
      <c r="C651" s="147"/>
      <c r="D651" s="147"/>
      <c r="E651" s="689"/>
      <c r="F651" s="517"/>
      <c r="G651" s="611">
        <f>F652+F653</f>
        <v>204.64</v>
      </c>
      <c r="H651" s="718"/>
      <c r="I651" s="1"/>
      <c r="J651" s="525"/>
      <c r="Q651" s="101"/>
      <c r="R651" s="101"/>
      <c r="S651" s="101"/>
    </row>
    <row r="652" spans="1:19" ht="13.5">
      <c r="A652" s="159" t="s">
        <v>387</v>
      </c>
      <c r="B652" s="63"/>
      <c r="C652" s="155"/>
      <c r="D652" s="155"/>
      <c r="E652" s="162">
        <v>50</v>
      </c>
      <c r="F652" s="469">
        <v>140.35</v>
      </c>
      <c r="G652" s="721"/>
      <c r="H652" s="722">
        <v>49.7</v>
      </c>
      <c r="I652" s="158">
        <f>H652/E652</f>
        <v>0.9940000000000001</v>
      </c>
      <c r="J652" s="548">
        <f>F652*I652</f>
        <v>139.5079</v>
      </c>
      <c r="Q652" s="101"/>
      <c r="R652" s="101"/>
      <c r="S652" s="101"/>
    </row>
    <row r="653" spans="1:19" ht="13.5">
      <c r="A653" s="160"/>
      <c r="B653" s="719"/>
      <c r="C653" s="150"/>
      <c r="D653" s="150"/>
      <c r="E653" s="161">
        <v>30</v>
      </c>
      <c r="F653" s="933">
        <v>64.29</v>
      </c>
      <c r="G653" s="934"/>
      <c r="H653" s="935">
        <v>30.05</v>
      </c>
      <c r="I653" s="936">
        <f>H653/E653</f>
        <v>1.0016666666666667</v>
      </c>
      <c r="J653" s="937">
        <f>F653*I653</f>
        <v>64.39715000000001</v>
      </c>
      <c r="Q653" s="101"/>
      <c r="R653" s="101"/>
      <c r="S653" s="101"/>
    </row>
    <row r="654" spans="1:19" ht="13.5">
      <c r="A654" s="154" t="s">
        <v>724</v>
      </c>
      <c r="B654" s="63"/>
      <c r="C654" s="155"/>
      <c r="D654" s="155"/>
      <c r="E654" s="155"/>
      <c r="G654" s="611">
        <f>SUM(F655:F661)</f>
        <v>1092.2199999999998</v>
      </c>
      <c r="H654" s="722"/>
      <c r="I654" s="158"/>
      <c r="J654" s="548"/>
      <c r="Q654" s="101"/>
      <c r="R654" s="101"/>
      <c r="S654" s="101"/>
    </row>
    <row r="655" spans="1:19" ht="13.5">
      <c r="A655" s="159" t="s">
        <v>725</v>
      </c>
      <c r="B655" s="63"/>
      <c r="C655" s="155"/>
      <c r="D655" s="155"/>
      <c r="E655" s="162">
        <v>30</v>
      </c>
      <c r="F655" s="469">
        <v>378</v>
      </c>
      <c r="G655" s="721"/>
      <c r="H655" s="722">
        <v>24</v>
      </c>
      <c r="I655" s="158">
        <f aca="true" t="shared" si="76" ref="I655:I661">H655/E655</f>
        <v>0.8</v>
      </c>
      <c r="J655" s="548">
        <f aca="true" t="shared" si="77" ref="J655:J661">F655*I655</f>
        <v>302.40000000000003</v>
      </c>
      <c r="Q655" s="101"/>
      <c r="R655" s="101"/>
      <c r="S655" s="101"/>
    </row>
    <row r="656" spans="1:19" ht="13.5">
      <c r="A656" s="159"/>
      <c r="B656" s="63"/>
      <c r="C656" s="155"/>
      <c r="D656" s="155"/>
      <c r="E656" s="162">
        <v>50</v>
      </c>
      <c r="F656" s="469">
        <v>481</v>
      </c>
      <c r="G656" s="721"/>
      <c r="H656" s="722">
        <v>39</v>
      </c>
      <c r="I656" s="158">
        <f t="shared" si="76"/>
        <v>0.78</v>
      </c>
      <c r="J656" s="548">
        <f t="shared" si="77"/>
        <v>375.18</v>
      </c>
      <c r="Q656" s="101"/>
      <c r="R656" s="101"/>
      <c r="S656" s="101"/>
    </row>
    <row r="657" spans="1:19" ht="13.5">
      <c r="A657" s="159"/>
      <c r="B657" s="63" t="s">
        <v>728</v>
      </c>
      <c r="C657" s="155"/>
      <c r="D657" s="155"/>
      <c r="E657" s="162">
        <v>30</v>
      </c>
      <c r="F657" s="469">
        <v>20.67</v>
      </c>
      <c r="G657" s="721"/>
      <c r="H657" s="722">
        <v>25</v>
      </c>
      <c r="I657" s="158">
        <f t="shared" si="76"/>
        <v>0.8333333333333334</v>
      </c>
      <c r="J657" s="548">
        <f t="shared" si="77"/>
        <v>17.225</v>
      </c>
      <c r="Q657" s="101"/>
      <c r="R657" s="101"/>
      <c r="S657" s="101"/>
    </row>
    <row r="658" spans="1:19" ht="13.5">
      <c r="A658" s="159" t="s">
        <v>726</v>
      </c>
      <c r="B658" s="63"/>
      <c r="C658" s="155"/>
      <c r="D658" s="155"/>
      <c r="E658" s="162">
        <v>30</v>
      </c>
      <c r="F658" s="469">
        <v>50.55</v>
      </c>
      <c r="G658" s="721"/>
      <c r="H658" s="722">
        <v>24</v>
      </c>
      <c r="I658" s="158">
        <f t="shared" si="76"/>
        <v>0.8</v>
      </c>
      <c r="J658" s="548">
        <f t="shared" si="77"/>
        <v>40.44</v>
      </c>
      <c r="Q658" s="101"/>
      <c r="R658" s="101"/>
      <c r="S658" s="101"/>
    </row>
    <row r="659" spans="1:19" ht="13.5">
      <c r="A659" s="159"/>
      <c r="B659" s="63"/>
      <c r="C659" s="155"/>
      <c r="D659" s="155"/>
      <c r="E659" s="162">
        <v>50</v>
      </c>
      <c r="F659" s="469">
        <v>79</v>
      </c>
      <c r="G659" s="721"/>
      <c r="H659" s="722">
        <v>39</v>
      </c>
      <c r="I659" s="158">
        <f t="shared" si="76"/>
        <v>0.78</v>
      </c>
      <c r="J659" s="548">
        <f t="shared" si="77"/>
        <v>61.620000000000005</v>
      </c>
      <c r="Q659" s="101"/>
      <c r="R659" s="101"/>
      <c r="S659" s="101"/>
    </row>
    <row r="660" spans="1:19" ht="13.5">
      <c r="A660" s="159" t="s">
        <v>727</v>
      </c>
      <c r="B660" s="63"/>
      <c r="C660" s="155"/>
      <c r="D660" s="155"/>
      <c r="E660" s="162">
        <v>30</v>
      </c>
      <c r="F660" s="469">
        <v>33</v>
      </c>
      <c r="G660" s="721"/>
      <c r="H660" s="722">
        <v>24</v>
      </c>
      <c r="I660" s="158">
        <f t="shared" si="76"/>
        <v>0.8</v>
      </c>
      <c r="J660" s="548">
        <f t="shared" si="77"/>
        <v>26.400000000000002</v>
      </c>
      <c r="Q660" s="101"/>
      <c r="R660" s="101"/>
      <c r="S660" s="101"/>
    </row>
    <row r="661" spans="1:19" ht="13.5">
      <c r="A661" s="159"/>
      <c r="B661" s="63"/>
      <c r="C661" s="155"/>
      <c r="D661" s="155"/>
      <c r="E661" s="162">
        <v>50</v>
      </c>
      <c r="F661" s="469">
        <v>50</v>
      </c>
      <c r="G661" s="721"/>
      <c r="H661" s="722">
        <v>39</v>
      </c>
      <c r="I661" s="158">
        <f t="shared" si="76"/>
        <v>0.78</v>
      </c>
      <c r="J661" s="548">
        <f t="shared" si="77"/>
        <v>39</v>
      </c>
      <c r="Q661" s="101"/>
      <c r="R661" s="101"/>
      <c r="S661" s="101"/>
    </row>
    <row r="662" spans="1:17" ht="14.25" thickBot="1">
      <c r="A662" s="154" t="s">
        <v>468</v>
      </c>
      <c r="B662" s="720"/>
      <c r="C662" s="155"/>
      <c r="D662" s="155"/>
      <c r="E662" s="162"/>
      <c r="F662" s="723">
        <f>SUM(F634:F661)</f>
        <v>7320.380000000001</v>
      </c>
      <c r="G662" s="723">
        <f>SUM(G634:G661)</f>
        <v>7320.380000000001</v>
      </c>
      <c r="H662" s="1137" t="s">
        <v>386</v>
      </c>
      <c r="I662" s="690">
        <f>J662/F662</f>
        <v>0.8193932285456426</v>
      </c>
      <c r="J662" s="724">
        <f>SUM(J634:J653)</f>
        <v>5998.269802380952</v>
      </c>
      <c r="Q662" s="101"/>
    </row>
    <row r="663" spans="1:19" ht="14.25" thickTop="1">
      <c r="A663" s="876" t="s">
        <v>109</v>
      </c>
      <c r="B663" s="877"/>
      <c r="C663" s="878"/>
      <c r="D663" s="878"/>
      <c r="E663" s="879"/>
      <c r="F663" s="880">
        <f>SUM(F590,F629,F631,F632,F662)</f>
        <v>586886.38</v>
      </c>
      <c r="G663" s="880">
        <f>SUM(G590,G629,G630,G662)</f>
        <v>586886.38</v>
      </c>
      <c r="H663" s="881"/>
      <c r="I663" s="882">
        <f>J663/F663</f>
        <v>1.054625514617759</v>
      </c>
      <c r="J663" s="883">
        <f>SUM(J590,J629,J632,J662)</f>
        <v>618945.3505296537</v>
      </c>
      <c r="Q663" s="101"/>
      <c r="R663" s="101"/>
      <c r="S663" s="101"/>
    </row>
    <row r="664" spans="1:18" ht="12.75">
      <c r="A664" s="730" t="s">
        <v>871</v>
      </c>
      <c r="F664" s="174">
        <f>COUNT(F560:F662)-3</f>
        <v>88</v>
      </c>
      <c r="R664" s="100"/>
    </row>
    <row r="665" spans="1:18" ht="12.75">
      <c r="A665" s="730"/>
      <c r="F665" s="174"/>
      <c r="R665" s="100"/>
    </row>
    <row r="666" spans="1:18" ht="12.75">
      <c r="A666" s="730"/>
      <c r="F666" s="174"/>
      <c r="R666" s="100"/>
    </row>
    <row r="667" spans="6:18" ht="12.75">
      <c r="F667" s="174"/>
      <c r="R667" s="100"/>
    </row>
    <row r="668" spans="1:5" ht="15.75">
      <c r="A668" s="142" t="s">
        <v>633</v>
      </c>
      <c r="E668" s="145"/>
    </row>
    <row r="669" spans="1:10" ht="13.5">
      <c r="A669" s="146"/>
      <c r="B669" s="147"/>
      <c r="C669" s="147"/>
      <c r="D669" s="1111"/>
      <c r="E669" s="1112"/>
      <c r="F669" s="550">
        <v>2012</v>
      </c>
      <c r="G669" s="685" t="s">
        <v>168</v>
      </c>
      <c r="H669" s="550">
        <v>2012</v>
      </c>
      <c r="I669" s="717">
        <v>2012</v>
      </c>
      <c r="J669" s="550">
        <v>2012</v>
      </c>
    </row>
    <row r="670" spans="1:10" ht="13.5">
      <c r="A670" s="148" t="s">
        <v>23</v>
      </c>
      <c r="B670" s="149" t="s">
        <v>24</v>
      </c>
      <c r="C670" s="150"/>
      <c r="D670" s="1114"/>
      <c r="E670" s="1115" t="s">
        <v>98</v>
      </c>
      <c r="F670" s="1115" t="s">
        <v>99</v>
      </c>
      <c r="G670" s="682" t="s">
        <v>470</v>
      </c>
      <c r="H670" s="859" t="s">
        <v>414</v>
      </c>
      <c r="I670" s="152" t="s">
        <v>866</v>
      </c>
      <c r="J670" s="153" t="s">
        <v>113</v>
      </c>
    </row>
    <row r="671" spans="1:10" ht="13.5">
      <c r="A671" s="154" t="s">
        <v>1</v>
      </c>
      <c r="B671" s="155"/>
      <c r="C671" s="155"/>
      <c r="D671" s="62"/>
      <c r="E671" s="156"/>
      <c r="F671" s="157"/>
      <c r="G671" s="4"/>
      <c r="H671" s="688"/>
      <c r="I671" s="158"/>
      <c r="J671" s="65"/>
    </row>
    <row r="672" spans="1:10" ht="13.5">
      <c r="A672" s="155" t="s">
        <v>710</v>
      </c>
      <c r="B672" s="63"/>
      <c r="C672" s="642" t="s">
        <v>188</v>
      </c>
      <c r="D672" s="1105"/>
      <c r="E672" s="1104">
        <v>50</v>
      </c>
      <c r="F672" s="157">
        <v>181</v>
      </c>
      <c r="G672" s="600">
        <f>SUM(F672:F672)</f>
        <v>181</v>
      </c>
      <c r="H672" s="213">
        <v>49</v>
      </c>
      <c r="I672" s="158">
        <f>H672/E672</f>
        <v>0.98</v>
      </c>
      <c r="J672" s="65">
        <f>F672*I672</f>
        <v>177.38</v>
      </c>
    </row>
    <row r="673" spans="1:10" ht="13.5">
      <c r="A673" s="146" t="s">
        <v>2</v>
      </c>
      <c r="B673" s="147"/>
      <c r="C673" s="147"/>
      <c r="D673" s="1111"/>
      <c r="E673" s="1112"/>
      <c r="F673" s="3"/>
      <c r="G673" s="948">
        <f>SUM(F674:F676)</f>
        <v>93.5</v>
      </c>
      <c r="H673" s="686"/>
      <c r="I673" s="710"/>
      <c r="J673" s="711"/>
    </row>
    <row r="674" spans="1:10" ht="13.5">
      <c r="A674" s="159"/>
      <c r="B674" s="155" t="s">
        <v>460</v>
      </c>
      <c r="C674" s="63"/>
      <c r="D674" s="1103"/>
      <c r="E674" s="1107">
        <v>50</v>
      </c>
      <c r="F674" s="4">
        <v>12.5</v>
      </c>
      <c r="G674" s="4"/>
      <c r="H674" s="688">
        <v>34.65</v>
      </c>
      <c r="I674" s="33">
        <f>H674/E674</f>
        <v>0.693</v>
      </c>
      <c r="J674" s="548">
        <f>F674*I674</f>
        <v>8.6625</v>
      </c>
    </row>
    <row r="675" spans="1:10" ht="13.5">
      <c r="A675" s="159"/>
      <c r="B675" s="155" t="s">
        <v>461</v>
      </c>
      <c r="C675" s="63"/>
      <c r="D675" s="1103"/>
      <c r="E675" s="1107">
        <v>50</v>
      </c>
      <c r="F675" s="4">
        <v>53</v>
      </c>
      <c r="G675" s="4"/>
      <c r="H675" s="688">
        <v>62.5</v>
      </c>
      <c r="I675" s="33">
        <f>H675/E675</f>
        <v>1.25</v>
      </c>
      <c r="J675" s="548">
        <f>F675*I675</f>
        <v>66.25</v>
      </c>
    </row>
    <row r="676" spans="1:10" ht="13.5">
      <c r="A676" s="159"/>
      <c r="B676" s="155" t="s">
        <v>734</v>
      </c>
      <c r="C676" s="719"/>
      <c r="D676" s="1103"/>
      <c r="E676" s="1107">
        <v>50</v>
      </c>
      <c r="F676" s="4">
        <v>28</v>
      </c>
      <c r="G676" s="4"/>
      <c r="H676" s="688">
        <v>62.5</v>
      </c>
      <c r="I676" s="158">
        <f>H676/E676</f>
        <v>1.25</v>
      </c>
      <c r="J676" s="65">
        <f>F676*I676</f>
        <v>35</v>
      </c>
    </row>
    <row r="677" spans="1:10" ht="13.5">
      <c r="A677" s="146" t="s">
        <v>570</v>
      </c>
      <c r="B677" s="1110"/>
      <c r="C677" s="1031"/>
      <c r="D677" s="1111"/>
      <c r="E677" s="1112"/>
      <c r="F677" s="3"/>
      <c r="G677" s="948">
        <f>SUM(F678:F693)</f>
        <v>2057.2000000000003</v>
      </c>
      <c r="H677" s="686"/>
      <c r="I677" s="802"/>
      <c r="J677" s="1113"/>
    </row>
    <row r="678" spans="1:10" ht="13.5">
      <c r="A678" s="159" t="s">
        <v>452</v>
      </c>
      <c r="B678" s="1105" t="s">
        <v>453</v>
      </c>
      <c r="C678" s="1108"/>
      <c r="D678" s="1103"/>
      <c r="E678" s="1107">
        <v>50</v>
      </c>
      <c r="F678" s="4">
        <v>66.85</v>
      </c>
      <c r="H678" s="688">
        <v>54.9</v>
      </c>
      <c r="I678" s="33">
        <f aca="true" t="shared" si="78" ref="I678:I693">H678/E678</f>
        <v>1.0979999999999999</v>
      </c>
      <c r="J678" s="548">
        <f>F678*I678</f>
        <v>73.40129999999998</v>
      </c>
    </row>
    <row r="679" spans="1:10" ht="13.5">
      <c r="A679" s="159"/>
      <c r="B679" s="1105" t="s">
        <v>610</v>
      </c>
      <c r="C679" s="1108"/>
      <c r="D679" s="1103"/>
      <c r="E679" s="1107">
        <v>50</v>
      </c>
      <c r="F679" s="4">
        <v>4.7</v>
      </c>
      <c r="H679" s="688">
        <v>54.9</v>
      </c>
      <c r="I679" s="33">
        <f t="shared" si="78"/>
        <v>1.0979999999999999</v>
      </c>
      <c r="J679" s="548">
        <f aca="true" t="shared" si="79" ref="J679:J693">F679*I679</f>
        <v>5.1606</v>
      </c>
    </row>
    <row r="680" spans="1:10" ht="13.5">
      <c r="A680" s="159"/>
      <c r="B680" s="1105" t="s">
        <v>454</v>
      </c>
      <c r="C680" s="1108"/>
      <c r="D680" s="1103"/>
      <c r="E680" s="1107">
        <v>50</v>
      </c>
      <c r="F680" s="4">
        <v>114.9</v>
      </c>
      <c r="H680" s="688">
        <v>54.9</v>
      </c>
      <c r="I680" s="33">
        <f t="shared" si="78"/>
        <v>1.0979999999999999</v>
      </c>
      <c r="J680" s="548">
        <f t="shared" si="79"/>
        <v>126.16019999999999</v>
      </c>
    </row>
    <row r="681" spans="1:10" ht="13.5">
      <c r="A681" s="159"/>
      <c r="B681" s="1105" t="s">
        <v>455</v>
      </c>
      <c r="C681" s="1108"/>
      <c r="D681" s="1103"/>
      <c r="E681" s="1107">
        <v>50</v>
      </c>
      <c r="F681" s="4">
        <v>3.65</v>
      </c>
      <c r="H681" s="688">
        <v>54.9</v>
      </c>
      <c r="I681" s="33">
        <f t="shared" si="78"/>
        <v>1.0979999999999999</v>
      </c>
      <c r="J681" s="548">
        <f t="shared" si="79"/>
        <v>4.0077</v>
      </c>
    </row>
    <row r="682" spans="1:10" ht="13.5">
      <c r="A682" s="159"/>
      <c r="B682" s="155" t="s">
        <v>611</v>
      </c>
      <c r="C682" s="63"/>
      <c r="D682" s="1103"/>
      <c r="E682" s="1107">
        <v>50</v>
      </c>
      <c r="F682" s="4">
        <v>131.65</v>
      </c>
      <c r="H682" s="688">
        <v>54.9</v>
      </c>
      <c r="I682" s="33">
        <f t="shared" si="78"/>
        <v>1.0979999999999999</v>
      </c>
      <c r="J682" s="548">
        <f t="shared" si="79"/>
        <v>144.55169999999998</v>
      </c>
    </row>
    <row r="683" spans="1:10" ht="13.5">
      <c r="A683" s="159"/>
      <c r="B683" s="155" t="s">
        <v>456</v>
      </c>
      <c r="C683" s="63"/>
      <c r="D683" s="1103"/>
      <c r="E683" s="1107">
        <v>50</v>
      </c>
      <c r="F683" s="4">
        <v>11.75</v>
      </c>
      <c r="H683" s="688">
        <v>54.9</v>
      </c>
      <c r="I683" s="33">
        <f t="shared" si="78"/>
        <v>1.0979999999999999</v>
      </c>
      <c r="J683" s="548">
        <f t="shared" si="79"/>
        <v>12.901499999999999</v>
      </c>
    </row>
    <row r="684" spans="1:10" ht="13.5">
      <c r="A684" s="159"/>
      <c r="B684" s="155" t="s">
        <v>457</v>
      </c>
      <c r="C684" s="63"/>
      <c r="D684" s="1103"/>
      <c r="E684" s="1107">
        <v>50</v>
      </c>
      <c r="F684" s="4">
        <v>114.8</v>
      </c>
      <c r="H684" s="688">
        <v>54.9</v>
      </c>
      <c r="I684" s="33">
        <f t="shared" si="78"/>
        <v>1.0979999999999999</v>
      </c>
      <c r="J684" s="548">
        <f t="shared" si="79"/>
        <v>126.05039999999998</v>
      </c>
    </row>
    <row r="685" spans="1:10" ht="13.5">
      <c r="A685" s="159" t="s">
        <v>458</v>
      </c>
      <c r="B685" s="155" t="s">
        <v>459</v>
      </c>
      <c r="C685" s="63"/>
      <c r="D685" s="1103"/>
      <c r="E685" s="1107">
        <v>50</v>
      </c>
      <c r="F685" s="4">
        <v>825.1</v>
      </c>
      <c r="H685" s="688">
        <v>55.2</v>
      </c>
      <c r="I685" s="33">
        <f t="shared" si="78"/>
        <v>1.104</v>
      </c>
      <c r="J685" s="548">
        <f t="shared" si="79"/>
        <v>910.9104000000001</v>
      </c>
    </row>
    <row r="686" spans="1:10" ht="13.5">
      <c r="A686" s="154"/>
      <c r="B686" s="155" t="s">
        <v>612</v>
      </c>
      <c r="C686" s="63"/>
      <c r="D686" s="1103"/>
      <c r="E686" s="1107">
        <v>50</v>
      </c>
      <c r="F686" s="4">
        <v>780.2</v>
      </c>
      <c r="H686" s="688">
        <v>55.2</v>
      </c>
      <c r="I686" s="33">
        <f t="shared" si="78"/>
        <v>1.104</v>
      </c>
      <c r="J686" s="548">
        <f t="shared" si="79"/>
        <v>861.3408000000002</v>
      </c>
    </row>
    <row r="687" spans="1:10" ht="13.5">
      <c r="A687" s="154"/>
      <c r="B687" s="155" t="s">
        <v>736</v>
      </c>
      <c r="C687" s="1103" t="s">
        <v>737</v>
      </c>
      <c r="D687" s="1106"/>
      <c r="E687" s="1107">
        <v>50</v>
      </c>
      <c r="F687" s="4">
        <v>0.35</v>
      </c>
      <c r="H687" s="688">
        <v>54.12</v>
      </c>
      <c r="I687" s="158">
        <f t="shared" si="78"/>
        <v>1.0824</v>
      </c>
      <c r="J687" s="970">
        <f t="shared" si="79"/>
        <v>0.37884</v>
      </c>
    </row>
    <row r="688" spans="1:10" ht="13.5">
      <c r="A688" s="154"/>
      <c r="B688" s="155" t="s">
        <v>736</v>
      </c>
      <c r="C688" s="1103" t="s">
        <v>738</v>
      </c>
      <c r="D688" s="1106"/>
      <c r="E688" s="1107">
        <v>50</v>
      </c>
      <c r="F688" s="4">
        <v>0.25</v>
      </c>
      <c r="H688" s="688">
        <v>60.15</v>
      </c>
      <c r="I688" s="158">
        <f t="shared" si="78"/>
        <v>1.203</v>
      </c>
      <c r="J688" s="970">
        <f t="shared" si="79"/>
        <v>0.30075</v>
      </c>
    </row>
    <row r="689" spans="1:10" ht="13.5">
      <c r="A689" s="154"/>
      <c r="B689" s="155" t="s">
        <v>736</v>
      </c>
      <c r="C689" s="1103" t="s">
        <v>739</v>
      </c>
      <c r="D689" s="1106"/>
      <c r="E689" s="1107">
        <v>50</v>
      </c>
      <c r="F689" s="4">
        <v>0.25</v>
      </c>
      <c r="H689" s="688">
        <v>60.15</v>
      </c>
      <c r="I689" s="158">
        <f t="shared" si="78"/>
        <v>1.203</v>
      </c>
      <c r="J689" s="970">
        <f t="shared" si="79"/>
        <v>0.30075</v>
      </c>
    </row>
    <row r="690" spans="1:10" ht="13.5">
      <c r="A690" s="154"/>
      <c r="B690" s="155" t="s">
        <v>736</v>
      </c>
      <c r="C690" s="1103" t="s">
        <v>740</v>
      </c>
      <c r="D690" s="1106"/>
      <c r="E690" s="1107">
        <v>50</v>
      </c>
      <c r="F690" s="4">
        <v>0.35</v>
      </c>
      <c r="H690" s="688">
        <v>60.15</v>
      </c>
      <c r="I690" s="158">
        <f t="shared" si="78"/>
        <v>1.203</v>
      </c>
      <c r="J690" s="970">
        <f t="shared" si="79"/>
        <v>0.42105</v>
      </c>
    </row>
    <row r="691" spans="1:10" ht="13.5">
      <c r="A691" s="154"/>
      <c r="B691" s="155" t="s">
        <v>736</v>
      </c>
      <c r="C691" s="1103" t="s">
        <v>741</v>
      </c>
      <c r="D691" s="1106"/>
      <c r="E691" s="1107">
        <v>50</v>
      </c>
      <c r="F691" s="4">
        <v>0.75</v>
      </c>
      <c r="H691" s="688">
        <v>69.4</v>
      </c>
      <c r="I691" s="158">
        <f t="shared" si="78"/>
        <v>1.3880000000000001</v>
      </c>
      <c r="J691" s="970">
        <f t="shared" si="79"/>
        <v>1.0410000000000001</v>
      </c>
    </row>
    <row r="692" spans="1:10" ht="13.5">
      <c r="A692" s="154"/>
      <c r="B692" s="155" t="s">
        <v>736</v>
      </c>
      <c r="C692" s="1103" t="s">
        <v>742</v>
      </c>
      <c r="D692" s="1106"/>
      <c r="E692" s="1107">
        <v>50</v>
      </c>
      <c r="F692" s="4">
        <v>0.6</v>
      </c>
      <c r="H692" s="688">
        <v>69.4</v>
      </c>
      <c r="I692" s="158">
        <f t="shared" si="78"/>
        <v>1.3880000000000001</v>
      </c>
      <c r="J692" s="970">
        <f t="shared" si="79"/>
        <v>0.8328000000000001</v>
      </c>
    </row>
    <row r="693" spans="1:10" ht="13.5">
      <c r="A693" s="154"/>
      <c r="B693" s="155" t="s">
        <v>736</v>
      </c>
      <c r="C693" s="1114" t="s">
        <v>743</v>
      </c>
      <c r="D693" s="1106"/>
      <c r="E693" s="1107">
        <v>50</v>
      </c>
      <c r="F693" s="4">
        <v>1.05</v>
      </c>
      <c r="H693" s="688">
        <v>69.4</v>
      </c>
      <c r="I693" s="158">
        <f t="shared" si="78"/>
        <v>1.3880000000000001</v>
      </c>
      <c r="J693" s="970">
        <f t="shared" si="79"/>
        <v>1.4574000000000003</v>
      </c>
    </row>
    <row r="694" spans="1:10" ht="13.5">
      <c r="A694" s="146" t="s">
        <v>112</v>
      </c>
      <c r="B694" s="647"/>
      <c r="C694" s="173"/>
      <c r="D694" s="698"/>
      <c r="E694" s="1109"/>
      <c r="F694" s="902">
        <f>SUM(F671:F693)</f>
        <v>2331.7000000000003</v>
      </c>
      <c r="G694" s="902">
        <f>SUM(G671:G693)</f>
        <v>2331.7000000000003</v>
      </c>
      <c r="H694" s="903"/>
      <c r="I694" s="901">
        <f>J694/F694</f>
        <v>1.0943848265214222</v>
      </c>
      <c r="J694" s="902">
        <f>SUM(J671:J686)</f>
        <v>2551.7771000000002</v>
      </c>
    </row>
    <row r="695" spans="1:10" ht="12.75">
      <c r="A695" s="1136" t="s">
        <v>97</v>
      </c>
      <c r="B695" s="650" t="s">
        <v>843</v>
      </c>
      <c r="C695" s="95"/>
      <c r="D695" s="95"/>
      <c r="F695" s="95"/>
      <c r="G695" s="651" t="s">
        <v>635</v>
      </c>
      <c r="H695" s="645"/>
      <c r="I695" s="95"/>
      <c r="J695" s="557"/>
    </row>
    <row r="696" spans="1:10" ht="13.5">
      <c r="A696" s="648" t="s">
        <v>154</v>
      </c>
      <c r="B696" s="150"/>
      <c r="C696" s="167"/>
      <c r="D696" s="62"/>
      <c r="E696" s="171"/>
      <c r="F696" s="899">
        <f>F663+F694</f>
        <v>589218.08</v>
      </c>
      <c r="G696" s="900"/>
      <c r="H696" s="900"/>
      <c r="I696" s="901">
        <f>J696/F696</f>
        <v>1.054782853285245</v>
      </c>
      <c r="J696" s="899">
        <f>J663+J694</f>
        <v>621497.1276296537</v>
      </c>
    </row>
    <row r="697" spans="1:6" ht="12.75">
      <c r="A697" s="738" t="s">
        <v>870</v>
      </c>
      <c r="F697">
        <f>COUNT(F672:F693)</f>
        <v>20</v>
      </c>
    </row>
    <row r="719" ht="12.75">
      <c r="A719" s="644"/>
    </row>
    <row r="720" spans="1:16" ht="12.75">
      <c r="A720" s="644"/>
      <c r="M720" s="644"/>
      <c r="N720" s="58"/>
      <c r="O720" s="58"/>
      <c r="P720" s="166"/>
    </row>
    <row r="721" spans="1:10" ht="12.75">
      <c r="A721" s="644"/>
      <c r="B721" s="58"/>
      <c r="C721" s="95"/>
      <c r="D721" s="95"/>
      <c r="F721" s="95"/>
      <c r="G721" s="145"/>
      <c r="H721" s="645"/>
      <c r="I721" s="95"/>
      <c r="J721" s="557"/>
    </row>
    <row r="722" spans="1:10" ht="12.75">
      <c r="A722" s="644"/>
      <c r="B722" s="58"/>
      <c r="C722" s="95"/>
      <c r="D722" s="95"/>
      <c r="F722" s="95"/>
      <c r="G722" s="145"/>
      <c r="H722" s="645"/>
      <c r="I722" s="95"/>
      <c r="J722" s="557"/>
    </row>
    <row r="723" spans="1:10" ht="12.75">
      <c r="A723" s="644"/>
      <c r="B723" s="58"/>
      <c r="C723" s="95"/>
      <c r="D723" s="95"/>
      <c r="F723" s="95"/>
      <c r="G723" s="145"/>
      <c r="H723" s="645"/>
      <c r="I723" s="95"/>
      <c r="J723" s="557"/>
    </row>
    <row r="724" spans="2:10" ht="12.75">
      <c r="B724" s="58"/>
      <c r="C724" s="95"/>
      <c r="D724" s="95"/>
      <c r="F724" s="95"/>
      <c r="G724" s="145"/>
      <c r="H724" s="645"/>
      <c r="I724" s="95"/>
      <c r="J724" s="557"/>
    </row>
    <row r="725" spans="2:10" ht="12.75">
      <c r="B725" s="58"/>
      <c r="C725" s="95"/>
      <c r="D725" s="95"/>
      <c r="F725" s="95"/>
      <c r="G725" s="145"/>
      <c r="H725" s="645"/>
      <c r="I725" s="95"/>
      <c r="J725" s="557"/>
    </row>
    <row r="726" spans="3:9" ht="12.75">
      <c r="C726" s="166"/>
      <c r="D726" s="145"/>
      <c r="E726" s="145"/>
      <c r="F726" s="145"/>
      <c r="G726" s="145"/>
      <c r="H726" s="32"/>
      <c r="I726" s="61"/>
    </row>
    <row r="727" spans="4:7" ht="12.75">
      <c r="D727" s="54"/>
      <c r="E727" s="54"/>
      <c r="F727" s="54"/>
      <c r="G727" s="54"/>
    </row>
    <row r="729" ht="12.75">
      <c r="F729" s="730"/>
    </row>
  </sheetData>
  <sheetProtection/>
  <mergeCells count="1">
    <mergeCell ref="A382:B382"/>
  </mergeCells>
  <hyperlinks>
    <hyperlink ref="G414" r:id="rId1" display="www.customs.govt.nz"/>
    <hyperlink ref="E418" r:id="rId2" display="www.statistics.govt.nz "/>
    <hyperlink ref="G514" r:id="rId3" display="www.statistics.govt.nz "/>
    <hyperlink ref="G416" r:id="rId4" display="www.customs.govt.nz"/>
    <hyperlink ref="E421" r:id="rId5" display="www.statistics.govt.nz "/>
    <hyperlink ref="F414" r:id="rId6" display="www.customs.govt.nz"/>
    <hyperlink ref="D418" r:id="rId7" display="www.statistics.govt.nz "/>
    <hyperlink ref="F514" r:id="rId8" display="www.statistics.govt.nz "/>
    <hyperlink ref="F416" r:id="rId9" display="www.customs.govt.nz"/>
    <hyperlink ref="D421" r:id="rId10" display="www.statistics.govt.nz "/>
  </hyperlink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8" scale="74" r:id="rId12"/>
  <headerFooter alignWithMargins="0">
    <oddHeader>&amp;LManufacturers Returns&amp;CAnalysed for 2012 year &amp;RReport to Ministry of Health</oddHeader>
    <oddFooter>&amp;LAnalysed by Health NZ Ltd&amp;C30 August 2013&amp;RProduct Sales Page &amp;P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Badco</dc:creator>
  <cp:keywords/>
  <dc:description/>
  <cp:lastModifiedBy>John Stribling</cp:lastModifiedBy>
  <cp:lastPrinted>2013-12-15T20:34:18Z</cp:lastPrinted>
  <dcterms:created xsi:type="dcterms:W3CDTF">2010-10-26T04:40:10Z</dcterms:created>
  <dcterms:modified xsi:type="dcterms:W3CDTF">2013-12-15T20:37:11Z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