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bookViews>
    <workbookView xWindow="0" yWindow="0" windowWidth="24000" windowHeight="9780"/>
  </bookViews>
  <sheets>
    <sheet name="Contents" sheetId="22" r:id="rId1"/>
    <sheet name="(1) Glossary of Terms" sheetId="20" r:id="rId2"/>
    <sheet name="(2) A.1 BAT (Cigs)" sheetId="1" r:id="rId3"/>
    <sheet name="(2) A.2 Imperial (Cigs)" sheetId="2" r:id="rId4"/>
    <sheet name="(2) A.3 Philip Morris (Cigs)" sheetId="3" r:id="rId5"/>
    <sheet name="(2) A.4 Other Brands (Cigs)" sheetId="4" r:id="rId6"/>
    <sheet name="(3) B.1 BAT (RYO)" sheetId="5" r:id="rId7"/>
    <sheet name="(3) B.2 Imperial (RYO)" sheetId="6" r:id="rId8"/>
    <sheet name="(3) B.3 Philip Morris (RYO)" sheetId="23" r:id="rId9"/>
    <sheet name="(3) B.4 Other Brands (RYO)" sheetId="7" r:id="rId10"/>
    <sheet name="(4) Pipe Tobacco" sheetId="8" r:id="rId11"/>
    <sheet name="(5) Cigars &amp; Cigarillos" sheetId="9" r:id="rId12"/>
    <sheet name="(6) Tobacco Product Sales" sheetId="10" r:id="rId13"/>
    <sheet name="(7) Total consumption trends" sheetId="13" r:id="rId14"/>
    <sheet name="(8) Tax revenue" sheetId="21" r:id="rId15"/>
    <sheet name="(9) Top selling tobacco product" sheetId="19" r:id="rId1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9" l="1"/>
  <c r="F29" i="19"/>
  <c r="E29" i="19"/>
  <c r="D29" i="19"/>
  <c r="C29" i="19"/>
  <c r="B29" i="19"/>
  <c r="H25" i="19"/>
  <c r="G16" i="19"/>
  <c r="F16" i="19"/>
  <c r="E16" i="19"/>
  <c r="D16" i="19"/>
  <c r="C16" i="19"/>
  <c r="B16" i="19"/>
  <c r="H11" i="19"/>
  <c r="H10" i="19"/>
  <c r="H5" i="19"/>
  <c r="F20" i="13"/>
  <c r="F19" i="13"/>
  <c r="E17" i="13"/>
  <c r="G17" i="13" s="1"/>
  <c r="D17" i="13"/>
  <c r="E16" i="13"/>
  <c r="G16" i="13" s="1"/>
  <c r="D16" i="13"/>
  <c r="D15" i="13"/>
  <c r="E15" i="13" s="1"/>
  <c r="G15" i="13" s="1"/>
  <c r="D14" i="13"/>
  <c r="E14" i="13" s="1"/>
  <c r="G14" i="13" s="1"/>
  <c r="E13" i="13"/>
  <c r="G13" i="13" s="1"/>
  <c r="D13" i="13"/>
  <c r="E12" i="13"/>
  <c r="G12" i="13" s="1"/>
  <c r="D12" i="13"/>
  <c r="D11" i="13"/>
  <c r="E11" i="13" s="1"/>
  <c r="G11" i="13" s="1"/>
  <c r="G10" i="13"/>
  <c r="E10" i="13"/>
  <c r="E9" i="13"/>
  <c r="G9" i="13" s="1"/>
  <c r="G8" i="13"/>
  <c r="E8" i="13"/>
  <c r="E7" i="13"/>
  <c r="G7" i="13" s="1"/>
  <c r="G6" i="13"/>
  <c r="E6" i="13"/>
  <c r="F14" i="10"/>
  <c r="E14" i="10"/>
  <c r="D14" i="10"/>
  <c r="B14" i="10"/>
  <c r="C11" i="10"/>
  <c r="G11" i="10" s="1"/>
  <c r="G14" i="10" s="1"/>
  <c r="G10" i="10"/>
  <c r="C10" i="10"/>
  <c r="C9" i="10"/>
  <c r="G9" i="10" s="1"/>
  <c r="G8" i="10"/>
  <c r="C8" i="10"/>
  <c r="C7" i="10"/>
  <c r="G7" i="10" s="1"/>
  <c r="G6" i="10"/>
  <c r="C6" i="10"/>
  <c r="G22" i="9"/>
  <c r="E22" i="9"/>
  <c r="D21" i="9"/>
  <c r="F20" i="9"/>
  <c r="D19" i="9"/>
  <c r="F18" i="9"/>
  <c r="F16" i="9"/>
  <c r="F15" i="9"/>
  <c r="F14" i="9"/>
  <c r="D13" i="9"/>
  <c r="D17" i="9" s="1"/>
  <c r="D12" i="9"/>
  <c r="F11" i="9"/>
  <c r="D11" i="9"/>
  <c r="D9" i="9"/>
  <c r="D10" i="9" s="1"/>
  <c r="D7" i="9"/>
  <c r="F7" i="9" s="1"/>
  <c r="F6" i="9"/>
  <c r="D6" i="9"/>
  <c r="D8" i="9" s="1"/>
  <c r="D18" i="8"/>
  <c r="E12" i="10" s="1"/>
  <c r="E13" i="10" s="1"/>
  <c r="D17" i="8"/>
  <c r="G16" i="8"/>
  <c r="F16" i="8"/>
  <c r="G15" i="8"/>
  <c r="F15" i="8"/>
  <c r="G14" i="8"/>
  <c r="F14" i="8"/>
  <c r="G13" i="8"/>
  <c r="F13" i="8"/>
  <c r="G12" i="8"/>
  <c r="F12" i="8"/>
  <c r="G11" i="8"/>
  <c r="F11" i="8"/>
  <c r="D9" i="8"/>
  <c r="F8" i="8"/>
  <c r="G8" i="8" s="1"/>
  <c r="G18" i="8" s="1"/>
  <c r="F7" i="8"/>
  <c r="G7" i="8" s="1"/>
  <c r="F36" i="7"/>
  <c r="G36" i="7" s="1"/>
  <c r="D36" i="7"/>
  <c r="F35" i="7"/>
  <c r="D35" i="7"/>
  <c r="G35" i="7" s="1"/>
  <c r="F34" i="7"/>
  <c r="D34" i="7"/>
  <c r="G34" i="7" s="1"/>
  <c r="F33" i="7"/>
  <c r="D33" i="7"/>
  <c r="G33" i="7" s="1"/>
  <c r="F30" i="7"/>
  <c r="D30" i="7"/>
  <c r="G30" i="7" s="1"/>
  <c r="G29" i="7"/>
  <c r="F29" i="7"/>
  <c r="D29" i="7"/>
  <c r="F28" i="7"/>
  <c r="G28" i="7" s="1"/>
  <c r="D28" i="7"/>
  <c r="F27" i="7"/>
  <c r="D27" i="7"/>
  <c r="F26" i="7"/>
  <c r="D26" i="7"/>
  <c r="G26" i="7" s="1"/>
  <c r="F25" i="7"/>
  <c r="G25" i="7" s="1"/>
  <c r="D25" i="7"/>
  <c r="G24" i="7"/>
  <c r="F24" i="7"/>
  <c r="D24" i="7"/>
  <c r="F23" i="7"/>
  <c r="D23" i="7"/>
  <c r="G23" i="7" s="1"/>
  <c r="G22" i="7"/>
  <c r="F22" i="7"/>
  <c r="D22" i="7"/>
  <c r="G21" i="7"/>
  <c r="F21" i="7"/>
  <c r="D21" i="7"/>
  <c r="F20" i="7"/>
  <c r="D20" i="7"/>
  <c r="G20" i="7" s="1"/>
  <c r="F19" i="7"/>
  <c r="D19" i="7"/>
  <c r="F16" i="7"/>
  <c r="D16" i="7"/>
  <c r="G16" i="7" s="1"/>
  <c r="G15" i="7"/>
  <c r="F15" i="7"/>
  <c r="F14" i="7"/>
  <c r="G14" i="7" s="1"/>
  <c r="D14" i="7"/>
  <c r="F13" i="7"/>
  <c r="D13" i="7"/>
  <c r="F12" i="7"/>
  <c r="D12" i="7"/>
  <c r="G12" i="7" s="1"/>
  <c r="F11" i="7"/>
  <c r="F38" i="7" s="1"/>
  <c r="D11" i="7"/>
  <c r="D9" i="7"/>
  <c r="F8" i="7"/>
  <c r="G8" i="7" s="1"/>
  <c r="D8" i="7"/>
  <c r="G7" i="7"/>
  <c r="F7" i="7"/>
  <c r="D7" i="7"/>
  <c r="D9" i="23"/>
  <c r="C25" i="10" s="1"/>
  <c r="G8" i="23"/>
  <c r="F8" i="23"/>
  <c r="G9" i="23" s="1"/>
  <c r="F39" i="6"/>
  <c r="G39" i="6" s="1"/>
  <c r="G38" i="6"/>
  <c r="F38" i="6"/>
  <c r="F37" i="6"/>
  <c r="D37" i="6"/>
  <c r="F36" i="6"/>
  <c r="D36" i="6"/>
  <c r="G36" i="6" s="1"/>
  <c r="D34" i="6"/>
  <c r="G33" i="6"/>
  <c r="F33" i="6"/>
  <c r="G32" i="6"/>
  <c r="F32" i="6"/>
  <c r="D30" i="6"/>
  <c r="F29" i="6"/>
  <c r="G29" i="6" s="1"/>
  <c r="G28" i="6"/>
  <c r="F28" i="6"/>
  <c r="F27" i="6"/>
  <c r="G27" i="6" s="1"/>
  <c r="F26" i="6"/>
  <c r="G26" i="6" s="1"/>
  <c r="F25" i="6"/>
  <c r="G25" i="6" s="1"/>
  <c r="G24" i="6"/>
  <c r="F24" i="6"/>
  <c r="G21" i="6"/>
  <c r="F21" i="6"/>
  <c r="F20" i="6"/>
  <c r="D20" i="6"/>
  <c r="G20" i="6" s="1"/>
  <c r="F19" i="6"/>
  <c r="G19" i="6" s="1"/>
  <c r="F18" i="6"/>
  <c r="G18" i="6" s="1"/>
  <c r="G17" i="6"/>
  <c r="F17" i="6"/>
  <c r="D17" i="6"/>
  <c r="F16" i="6"/>
  <c r="G16" i="6" s="1"/>
  <c r="G15" i="6"/>
  <c r="F15" i="6"/>
  <c r="D15" i="6"/>
  <c r="G14" i="6"/>
  <c r="F14" i="6"/>
  <c r="F11" i="6"/>
  <c r="D11" i="6"/>
  <c r="D12" i="6" s="1"/>
  <c r="F10" i="6"/>
  <c r="G10" i="6" s="1"/>
  <c r="G9" i="6"/>
  <c r="F9" i="6"/>
  <c r="F8" i="6"/>
  <c r="G8" i="6" s="1"/>
  <c r="D47" i="5"/>
  <c r="G46" i="5"/>
  <c r="F46" i="5"/>
  <c r="F45" i="5"/>
  <c r="G45" i="5" s="1"/>
  <c r="F44" i="5"/>
  <c r="G44" i="5" s="1"/>
  <c r="F43" i="5"/>
  <c r="G43" i="5" s="1"/>
  <c r="G42" i="5"/>
  <c r="F42" i="5"/>
  <c r="D40" i="5"/>
  <c r="F39" i="5"/>
  <c r="G39" i="5" s="1"/>
  <c r="F36" i="5"/>
  <c r="D36" i="5"/>
  <c r="G35" i="5"/>
  <c r="F35" i="5"/>
  <c r="G34" i="5"/>
  <c r="F34" i="5"/>
  <c r="G33" i="5"/>
  <c r="F33" i="5"/>
  <c r="G32" i="5"/>
  <c r="F32" i="5"/>
  <c r="D32" i="5"/>
  <c r="F31" i="5"/>
  <c r="D31" i="5"/>
  <c r="G31" i="5" s="1"/>
  <c r="D29" i="5"/>
  <c r="H23" i="19" s="1"/>
  <c r="F28" i="5"/>
  <c r="G28" i="5" s="1"/>
  <c r="F27" i="5"/>
  <c r="G27" i="5" s="1"/>
  <c r="F26" i="5"/>
  <c r="G26" i="5" s="1"/>
  <c r="G25" i="5"/>
  <c r="F25" i="5"/>
  <c r="F24" i="5"/>
  <c r="G24" i="5" s="1"/>
  <c r="F23" i="5"/>
  <c r="G23" i="5" s="1"/>
  <c r="D23" i="5"/>
  <c r="D21" i="5"/>
  <c r="H26" i="19" s="1"/>
  <c r="F20" i="5"/>
  <c r="G20" i="5" s="1"/>
  <c r="F19" i="5"/>
  <c r="G19" i="5" s="1"/>
  <c r="G18" i="5"/>
  <c r="F18" i="5"/>
  <c r="F17" i="5"/>
  <c r="G17" i="5" s="1"/>
  <c r="F16" i="5"/>
  <c r="G16" i="5" s="1"/>
  <c r="D14" i="5"/>
  <c r="G13" i="5"/>
  <c r="F13" i="5"/>
  <c r="D11" i="5"/>
  <c r="F10" i="5"/>
  <c r="G10" i="5" s="1"/>
  <c r="G9" i="5"/>
  <c r="F9" i="5"/>
  <c r="F8" i="5"/>
  <c r="F48" i="5" s="1"/>
  <c r="D8" i="5"/>
  <c r="D41" i="4"/>
  <c r="B26" i="10" s="1"/>
  <c r="D40" i="4"/>
  <c r="G39" i="4"/>
  <c r="F39" i="4"/>
  <c r="G38" i="4"/>
  <c r="F38" i="4"/>
  <c r="D36" i="4"/>
  <c r="G35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D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D15" i="4"/>
  <c r="G14" i="4"/>
  <c r="F14" i="4"/>
  <c r="D12" i="4"/>
  <c r="G11" i="4"/>
  <c r="F11" i="4"/>
  <c r="G10" i="4"/>
  <c r="F10" i="4"/>
  <c r="G9" i="4"/>
  <c r="F9" i="4"/>
  <c r="G8" i="4"/>
  <c r="F8" i="4"/>
  <c r="G7" i="4"/>
  <c r="G41" i="4" s="1"/>
  <c r="F7" i="4"/>
  <c r="D27" i="3"/>
  <c r="B25" i="10" s="1"/>
  <c r="D26" i="3"/>
  <c r="G25" i="3"/>
  <c r="F25" i="3"/>
  <c r="G24" i="3"/>
  <c r="F24" i="3"/>
  <c r="G23" i="3"/>
  <c r="F23" i="3"/>
  <c r="G22" i="3"/>
  <c r="F22" i="3"/>
  <c r="D20" i="3"/>
  <c r="G19" i="3"/>
  <c r="F19" i="3"/>
  <c r="G18" i="3"/>
  <c r="F18" i="3"/>
  <c r="G17" i="3"/>
  <c r="F17" i="3"/>
  <c r="G16" i="3"/>
  <c r="F16" i="3"/>
  <c r="G15" i="3"/>
  <c r="F15" i="3"/>
  <c r="G14" i="3"/>
  <c r="F14" i="3"/>
  <c r="D12" i="3"/>
  <c r="H13" i="19" s="1"/>
  <c r="G11" i="3"/>
  <c r="F11" i="3"/>
  <c r="G10" i="3"/>
  <c r="F10" i="3"/>
  <c r="G9" i="3"/>
  <c r="F9" i="3"/>
  <c r="G8" i="3"/>
  <c r="G27" i="3" s="1"/>
  <c r="F8" i="3"/>
  <c r="F27" i="3" s="1"/>
  <c r="D58" i="2"/>
  <c r="B24" i="10" s="1"/>
  <c r="D57" i="2"/>
  <c r="H9" i="19" s="1"/>
  <c r="G56" i="2"/>
  <c r="F56" i="2"/>
  <c r="G55" i="2"/>
  <c r="F55" i="2"/>
  <c r="G54" i="2"/>
  <c r="F54" i="2"/>
  <c r="G53" i="2"/>
  <c r="F53" i="2"/>
  <c r="D51" i="2"/>
  <c r="F50" i="2"/>
  <c r="G50" i="2" s="1"/>
  <c r="G49" i="2"/>
  <c r="F49" i="2"/>
  <c r="F48" i="2"/>
  <c r="G48" i="2" s="1"/>
  <c r="F47" i="2"/>
  <c r="G47" i="2" s="1"/>
  <c r="F46" i="2"/>
  <c r="G46" i="2" s="1"/>
  <c r="D44" i="2"/>
  <c r="H7" i="19" s="1"/>
  <c r="G43" i="2"/>
  <c r="F43" i="2"/>
  <c r="F42" i="2"/>
  <c r="G42" i="2" s="1"/>
  <c r="G41" i="2"/>
  <c r="F41" i="2"/>
  <c r="F40" i="2"/>
  <c r="G40" i="2" s="1"/>
  <c r="G39" i="2"/>
  <c r="F39" i="2"/>
  <c r="F38" i="2"/>
  <c r="G38" i="2" s="1"/>
  <c r="G37" i="2"/>
  <c r="F37" i="2"/>
  <c r="F36" i="2"/>
  <c r="G36" i="2" s="1"/>
  <c r="G35" i="2"/>
  <c r="F35" i="2"/>
  <c r="F34" i="2"/>
  <c r="G34" i="2" s="1"/>
  <c r="G33" i="2"/>
  <c r="F33" i="2"/>
  <c r="F32" i="2"/>
  <c r="G32" i="2" s="1"/>
  <c r="G31" i="2"/>
  <c r="F31" i="2"/>
  <c r="F30" i="2"/>
  <c r="G30" i="2" s="1"/>
  <c r="G29" i="2"/>
  <c r="F29" i="2"/>
  <c r="F28" i="2"/>
  <c r="G28" i="2" s="1"/>
  <c r="G27" i="2"/>
  <c r="F27" i="2"/>
  <c r="F26" i="2"/>
  <c r="G26" i="2" s="1"/>
  <c r="G25" i="2"/>
  <c r="F25" i="2"/>
  <c r="D23" i="2"/>
  <c r="G22" i="2"/>
  <c r="F22" i="2"/>
  <c r="F21" i="2"/>
  <c r="G21" i="2" s="1"/>
  <c r="F20" i="2"/>
  <c r="G20" i="2" s="1"/>
  <c r="F19" i="2"/>
  <c r="G19" i="2" s="1"/>
  <c r="F18" i="2"/>
  <c r="G18" i="2" s="1"/>
  <c r="F17" i="2"/>
  <c r="G17" i="2" s="1"/>
  <c r="G16" i="2"/>
  <c r="F16" i="2"/>
  <c r="F15" i="2"/>
  <c r="G15" i="2" s="1"/>
  <c r="G14" i="2"/>
  <c r="F14" i="2"/>
  <c r="F13" i="2"/>
  <c r="G13" i="2" s="1"/>
  <c r="F12" i="2"/>
  <c r="G12" i="2" s="1"/>
  <c r="F11" i="2"/>
  <c r="G11" i="2" s="1"/>
  <c r="D9" i="2"/>
  <c r="G8" i="2"/>
  <c r="G58" i="2" s="1"/>
  <c r="F8" i="2"/>
  <c r="F58" i="2" s="1"/>
  <c r="D92" i="1"/>
  <c r="H15" i="19" s="1"/>
  <c r="D91" i="1"/>
  <c r="H12" i="19" s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F92" i="1" s="1"/>
  <c r="D82" i="1"/>
  <c r="H6" i="19" s="1"/>
  <c r="F81" i="1"/>
  <c r="G81" i="1" s="1"/>
  <c r="G80" i="1"/>
  <c r="F80" i="1"/>
  <c r="F79" i="1"/>
  <c r="G79" i="1" s="1"/>
  <c r="G78" i="1"/>
  <c r="F78" i="1"/>
  <c r="F77" i="1"/>
  <c r="G77" i="1" s="1"/>
  <c r="F76" i="1"/>
  <c r="G76" i="1" s="1"/>
  <c r="F75" i="1"/>
  <c r="G75" i="1" s="1"/>
  <c r="D73" i="1"/>
  <c r="H4" i="19" s="1"/>
  <c r="H14" i="19" s="1"/>
  <c r="H16" i="19" s="1"/>
  <c r="G72" i="1"/>
  <c r="F72" i="1"/>
  <c r="F71" i="1"/>
  <c r="G71" i="1" s="1"/>
  <c r="G70" i="1"/>
  <c r="F70" i="1"/>
  <c r="F69" i="1"/>
  <c r="G69" i="1" s="1"/>
  <c r="G68" i="1"/>
  <c r="F68" i="1"/>
  <c r="F67" i="1"/>
  <c r="G67" i="1" s="1"/>
  <c r="G66" i="1"/>
  <c r="F66" i="1"/>
  <c r="F65" i="1"/>
  <c r="G65" i="1" s="1"/>
  <c r="G64" i="1"/>
  <c r="F64" i="1"/>
  <c r="F63" i="1"/>
  <c r="G63" i="1" s="1"/>
  <c r="G62" i="1"/>
  <c r="F62" i="1"/>
  <c r="F61" i="1"/>
  <c r="G61" i="1" s="1"/>
  <c r="G60" i="1"/>
  <c r="F60" i="1"/>
  <c r="F59" i="1"/>
  <c r="G59" i="1" s="1"/>
  <c r="G58" i="1"/>
  <c r="F58" i="1"/>
  <c r="F57" i="1"/>
  <c r="G57" i="1" s="1"/>
  <c r="G56" i="1"/>
  <c r="F56" i="1"/>
  <c r="F55" i="1"/>
  <c r="G55" i="1" s="1"/>
  <c r="G54" i="1"/>
  <c r="F54" i="1"/>
  <c r="F53" i="1"/>
  <c r="G53" i="1" s="1"/>
  <c r="G52" i="1"/>
  <c r="F52" i="1"/>
  <c r="D50" i="1"/>
  <c r="F49" i="1"/>
  <c r="G49" i="1" s="1"/>
  <c r="D47" i="1"/>
  <c r="F46" i="1"/>
  <c r="G46" i="1" s="1"/>
  <c r="G45" i="1"/>
  <c r="F45" i="1"/>
  <c r="F44" i="1"/>
  <c r="G44" i="1" s="1"/>
  <c r="G43" i="1"/>
  <c r="F43" i="1"/>
  <c r="F42" i="1"/>
  <c r="G42" i="1" s="1"/>
  <c r="G41" i="1"/>
  <c r="F41" i="1"/>
  <c r="F40" i="1"/>
  <c r="G40" i="1" s="1"/>
  <c r="G39" i="1"/>
  <c r="F39" i="1"/>
  <c r="F38" i="1"/>
  <c r="G38" i="1" s="1"/>
  <c r="G37" i="1"/>
  <c r="F37" i="1"/>
  <c r="F36" i="1"/>
  <c r="G36" i="1" s="1"/>
  <c r="G35" i="1"/>
  <c r="F35" i="1"/>
  <c r="F34" i="1"/>
  <c r="G34" i="1" s="1"/>
  <c r="D32" i="1"/>
  <c r="F31" i="1"/>
  <c r="G31" i="1" s="1"/>
  <c r="F30" i="1"/>
  <c r="G30" i="1" s="1"/>
  <c r="F29" i="1"/>
  <c r="G29" i="1" s="1"/>
  <c r="G28" i="1"/>
  <c r="F28" i="1"/>
  <c r="D26" i="1"/>
  <c r="F25" i="1"/>
  <c r="G25" i="1" s="1"/>
  <c r="G24" i="1"/>
  <c r="F24" i="1"/>
  <c r="F23" i="1"/>
  <c r="G23" i="1" s="1"/>
  <c r="G22" i="1"/>
  <c r="F22" i="1"/>
  <c r="D20" i="1"/>
  <c r="G19" i="1"/>
  <c r="F19" i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D11" i="1"/>
  <c r="H8" i="19" s="1"/>
  <c r="G10" i="1"/>
  <c r="F10" i="1"/>
  <c r="G9" i="1"/>
  <c r="F9" i="1"/>
  <c r="G8" i="1"/>
  <c r="F8" i="1"/>
  <c r="G92" i="1" l="1"/>
  <c r="D40" i="6"/>
  <c r="H24" i="19" s="1"/>
  <c r="D37" i="5"/>
  <c r="H22" i="19" s="1"/>
  <c r="H27" i="19" s="1"/>
  <c r="D22" i="6"/>
  <c r="D41" i="6"/>
  <c r="C24" i="10" s="1"/>
  <c r="G19" i="7"/>
  <c r="D22" i="9"/>
  <c r="F12" i="10" s="1"/>
  <c r="F13" i="10" s="1"/>
  <c r="F9" i="9"/>
  <c r="F22" i="9" s="1"/>
  <c r="B23" i="10"/>
  <c r="B27" i="10" s="1"/>
  <c r="B12" i="10" s="1"/>
  <c r="D17" i="7"/>
  <c r="C14" i="10"/>
  <c r="F41" i="4"/>
  <c r="G11" i="6"/>
  <c r="G41" i="6" s="1"/>
  <c r="F41" i="6"/>
  <c r="D38" i="7"/>
  <c r="C26" i="10" s="1"/>
  <c r="D31" i="7"/>
  <c r="D37" i="7"/>
  <c r="D48" i="5"/>
  <c r="G8" i="5"/>
  <c r="G36" i="5"/>
  <c r="G37" i="6"/>
  <c r="G11" i="7"/>
  <c r="G38" i="7" s="1"/>
  <c r="G13" i="7"/>
  <c r="G27" i="7"/>
  <c r="F18" i="8"/>
  <c r="C23" i="10" l="1"/>
  <c r="C27" i="10" s="1"/>
  <c r="D12" i="10" s="1"/>
  <c r="H28" i="19"/>
  <c r="H29" i="19" s="1"/>
  <c r="B18" i="13"/>
  <c r="C12" i="10"/>
  <c r="B13" i="10"/>
  <c r="G48" i="5"/>
  <c r="C18" i="13" l="1"/>
  <c r="D13" i="10"/>
  <c r="B19" i="13"/>
  <c r="B20" i="13"/>
  <c r="C13" i="10"/>
  <c r="G12" i="10"/>
  <c r="G13" i="10" s="1"/>
  <c r="C20" i="13" l="1"/>
  <c r="D18" i="13"/>
  <c r="C19" i="13"/>
  <c r="D20" i="13" l="1"/>
  <c r="D19" i="13"/>
  <c r="E18" i="13"/>
  <c r="E19" i="13" l="1"/>
  <c r="G18" i="13"/>
  <c r="E20" i="13"/>
  <c r="G20" i="13" l="1"/>
  <c r="G19" i="13"/>
</calcChain>
</file>

<file path=xl/sharedStrings.xml><?xml version="1.0" encoding="utf-8"?>
<sst xmlns="http://schemas.openxmlformats.org/spreadsheetml/2006/main" count="628" uniqueCount="291">
  <si>
    <t>Brand</t>
  </si>
  <si>
    <t>Variant or type</t>
  </si>
  <si>
    <t>Pack size</t>
  </si>
  <si>
    <t>Club</t>
  </si>
  <si>
    <t>Classic Red</t>
  </si>
  <si>
    <t>Original Blue</t>
  </si>
  <si>
    <t>Menthol Green</t>
  </si>
  <si>
    <t>Benson &amp; Hedges</t>
  </si>
  <si>
    <t>Subtle</t>
  </si>
  <si>
    <t>Rich</t>
  </si>
  <si>
    <t>Classic</t>
  </si>
  <si>
    <t>Dunhill</t>
  </si>
  <si>
    <t>Rich 2x25 TP</t>
  </si>
  <si>
    <t>Classic 2x25 TP</t>
  </si>
  <si>
    <t>Premier TFF</t>
  </si>
  <si>
    <t>Release Chilled</t>
  </si>
  <si>
    <t>Distinct TF</t>
  </si>
  <si>
    <t>Switch</t>
  </si>
  <si>
    <t>Freedom</t>
  </si>
  <si>
    <t>Red</t>
  </si>
  <si>
    <t xml:space="preserve">Black </t>
  </si>
  <si>
    <t>Holiday</t>
  </si>
  <si>
    <t>Blue</t>
  </si>
  <si>
    <t xml:space="preserve">Green </t>
  </si>
  <si>
    <t>Boost</t>
  </si>
  <si>
    <t>Red 2x25 TP</t>
  </si>
  <si>
    <t>Supers Red</t>
  </si>
  <si>
    <t>Supers Blue</t>
  </si>
  <si>
    <t>Supers Green</t>
  </si>
  <si>
    <t>Lucky Strike</t>
  </si>
  <si>
    <t xml:space="preserve">Original Red </t>
  </si>
  <si>
    <t>Pall Mall</t>
  </si>
  <si>
    <t>Menthol Boost</t>
  </si>
  <si>
    <t>Click On Blue</t>
  </si>
  <si>
    <t>Click On Red</t>
  </si>
  <si>
    <t>Baseline Red</t>
  </si>
  <si>
    <t>Baseline Blue</t>
  </si>
  <si>
    <t>Baseline Green</t>
  </si>
  <si>
    <t>Baseline Extra Kings Red</t>
  </si>
  <si>
    <t>Baseline Extra Kings Blue</t>
  </si>
  <si>
    <t>Baseline Extra Kings Green</t>
  </si>
  <si>
    <t>Rothmans</t>
  </si>
  <si>
    <t>King Size</t>
  </si>
  <si>
    <t>Winfield</t>
  </si>
  <si>
    <t>Gold</t>
  </si>
  <si>
    <t>Imperial brands</t>
  </si>
  <si>
    <t>Camel</t>
  </si>
  <si>
    <t>Filter</t>
  </si>
  <si>
    <t>Horizon</t>
  </si>
  <si>
    <t>Mellow</t>
  </si>
  <si>
    <t>Menthol</t>
  </si>
  <si>
    <t xml:space="preserve">Menthol </t>
  </si>
  <si>
    <t>JPS</t>
  </si>
  <si>
    <t>Black</t>
  </si>
  <si>
    <t>Green</t>
  </si>
  <si>
    <t>Full Taste Green</t>
  </si>
  <si>
    <t>Full Taste Red</t>
  </si>
  <si>
    <t>Full Taste Blue</t>
  </si>
  <si>
    <t>Superkings Green</t>
  </si>
  <si>
    <t>Superkings Red</t>
  </si>
  <si>
    <t>Superkings Blue</t>
  </si>
  <si>
    <t>Peter Stuyvesant</t>
  </si>
  <si>
    <t>Fine</t>
  </si>
  <si>
    <t>West</t>
  </si>
  <si>
    <t>Philip Morris Brands</t>
  </si>
  <si>
    <t>Choice</t>
  </si>
  <si>
    <t>Longbeach</t>
  </si>
  <si>
    <t xml:space="preserve">Blue </t>
  </si>
  <si>
    <t xml:space="preserve">Filter </t>
  </si>
  <si>
    <t xml:space="preserve">Original </t>
  </si>
  <si>
    <t>Marlboro</t>
  </si>
  <si>
    <t>Black Menthol</t>
  </si>
  <si>
    <t>Ice Blast</t>
  </si>
  <si>
    <t xml:space="preserve">Red </t>
  </si>
  <si>
    <t>Gold Original</t>
  </si>
  <si>
    <t>New World</t>
  </si>
  <si>
    <t>HealthLink</t>
  </si>
  <si>
    <t>Panda</t>
  </si>
  <si>
    <t>GD</t>
  </si>
  <si>
    <t>Fu Rong Wang</t>
  </si>
  <si>
    <t>Lesser Panda</t>
  </si>
  <si>
    <t>Liqun</t>
  </si>
  <si>
    <t>Yuxi</t>
  </si>
  <si>
    <t>NZ Tobacco Company</t>
  </si>
  <si>
    <t>Japan Tobacco</t>
  </si>
  <si>
    <t>Capstan</t>
  </si>
  <si>
    <t>Variant</t>
  </si>
  <si>
    <t>Rum</t>
  </si>
  <si>
    <t>Park Drive</t>
  </si>
  <si>
    <t xml:space="preserve">Fine Cut </t>
  </si>
  <si>
    <t>Port Royal</t>
  </si>
  <si>
    <t>Original</t>
  </si>
  <si>
    <t>Ken Bourbon</t>
  </si>
  <si>
    <t>Black Label</t>
  </si>
  <si>
    <t>Drum</t>
  </si>
  <si>
    <t>Regular</t>
  </si>
  <si>
    <t>Red Plus</t>
  </si>
  <si>
    <t>Pocket Edition</t>
  </si>
  <si>
    <t>Riverstone</t>
  </si>
  <si>
    <t>Dark</t>
  </si>
  <si>
    <t>Philip Morris brand</t>
  </si>
  <si>
    <t xml:space="preserve">Scandinavian </t>
  </si>
  <si>
    <t>Scandinavian Tobacco</t>
  </si>
  <si>
    <t>Bali Shag Red/Round Virginia</t>
  </si>
  <si>
    <t>Nicky's</t>
  </si>
  <si>
    <t>Knight</t>
  </si>
  <si>
    <t>Sunny's</t>
  </si>
  <si>
    <t>Rasta</t>
  </si>
  <si>
    <t>Pirate Rum</t>
  </si>
  <si>
    <t>American Spirit</t>
  </si>
  <si>
    <t>Organic</t>
  </si>
  <si>
    <t>Easy Blue</t>
  </si>
  <si>
    <t xml:space="preserve">Manitou Gold Natural </t>
  </si>
  <si>
    <t>Tradition Virginia</t>
  </si>
  <si>
    <t xml:space="preserve">Double Happiness </t>
  </si>
  <si>
    <t xml:space="preserve">Chunghwa </t>
  </si>
  <si>
    <t>Bali Hai</t>
  </si>
  <si>
    <t>Super</t>
  </si>
  <si>
    <t xml:space="preserve">Djarum </t>
  </si>
  <si>
    <t>Coral</t>
  </si>
  <si>
    <t>Lagoon</t>
  </si>
  <si>
    <t>Virginia</t>
  </si>
  <si>
    <t>Red FF</t>
  </si>
  <si>
    <t xml:space="preserve">Reef </t>
  </si>
  <si>
    <t>Easy</t>
  </si>
  <si>
    <t>RYO Rum Blend (Maroon)</t>
  </si>
  <si>
    <t>RYO Regular Fine Cut (Yellow)</t>
  </si>
  <si>
    <t>Reef</t>
  </si>
  <si>
    <t>Virginia red</t>
  </si>
  <si>
    <t>Shipwreck</t>
  </si>
  <si>
    <t>Manitou</t>
  </si>
  <si>
    <t>Virginia Gold</t>
  </si>
  <si>
    <t>R &amp; S Kings</t>
  </si>
  <si>
    <t>Cosmic</t>
  </si>
  <si>
    <t>American Blend</t>
  </si>
  <si>
    <t xml:space="preserve">Colts </t>
  </si>
  <si>
    <t>Moderna</t>
  </si>
  <si>
    <t>Kohlhase</t>
  </si>
  <si>
    <t>Peterson</t>
  </si>
  <si>
    <t>Borkum Riff</t>
  </si>
  <si>
    <t>Blk Cavendish</t>
  </si>
  <si>
    <t>Chry Cavendish</t>
  </si>
  <si>
    <t>Whiskey</t>
  </si>
  <si>
    <t>Erinmore</t>
  </si>
  <si>
    <t>Flake</t>
  </si>
  <si>
    <t>Mixture</t>
  </si>
  <si>
    <t xml:space="preserve">Scandinavian Tobacco </t>
  </si>
  <si>
    <t>Backwoods</t>
  </si>
  <si>
    <t>Swisher Sweet</t>
  </si>
  <si>
    <t>Philip Morris</t>
  </si>
  <si>
    <t>NZ Tobacco Group</t>
  </si>
  <si>
    <t>Drum Corona Slim Havana</t>
  </si>
  <si>
    <t>Candlelight Filtered Cherry</t>
  </si>
  <si>
    <t>Candlelight Filtered Vanilla</t>
  </si>
  <si>
    <t>Harvest Vanilla Cherry Cigar</t>
  </si>
  <si>
    <t>Havana House domestic brands</t>
  </si>
  <si>
    <t>Imperial Total</t>
  </si>
  <si>
    <t>Philip Morris Total</t>
  </si>
  <si>
    <t>Other Brands Total</t>
  </si>
  <si>
    <t xml:space="preserve">Imperial Total </t>
  </si>
  <si>
    <t>Other brands Total</t>
  </si>
  <si>
    <t>Total</t>
  </si>
  <si>
    <t>BAT</t>
  </si>
  <si>
    <t>Imperial</t>
  </si>
  <si>
    <t>Other brands</t>
  </si>
  <si>
    <t>Year end 31 Dec</t>
  </si>
  <si>
    <t>2010-16</t>
  </si>
  <si>
    <t>Year</t>
  </si>
  <si>
    <t>$ millions</t>
  </si>
  <si>
    <t>millions</t>
  </si>
  <si>
    <t>Brown Betty 7s tins</t>
  </si>
  <si>
    <t>2015-2016 (%)</t>
  </si>
  <si>
    <t>Brand sales in millions</t>
  </si>
  <si>
    <t>Rank in volume sales 2016</t>
  </si>
  <si>
    <t>Total top ten brands</t>
  </si>
  <si>
    <t>Total all brands</t>
  </si>
  <si>
    <t>Top ten as % of total</t>
  </si>
  <si>
    <t>Brand sales in tonnes</t>
  </si>
  <si>
    <t>Rank in  sales 2016</t>
  </si>
  <si>
    <t>Total top five brands</t>
  </si>
  <si>
    <t>Top five as % of total</t>
  </si>
  <si>
    <t>tonnes</t>
  </si>
  <si>
    <t xml:space="preserve">2015-16 </t>
  </si>
  <si>
    <t>kg</t>
  </si>
  <si>
    <t>Volume sold</t>
  </si>
  <si>
    <t>Cost per pack</t>
  </si>
  <si>
    <t>Total receipts</t>
  </si>
  <si>
    <t>Cost per cigarette</t>
  </si>
  <si>
    <t>gm</t>
  </si>
  <si>
    <t>Cost per gram</t>
  </si>
  <si>
    <t>Tobacco per cigar/cigarillo</t>
  </si>
  <si>
    <t xml:space="preserve">Cigarette totals per brand (2016) </t>
  </si>
  <si>
    <t xml:space="preserve">RYO totals per brand (2016) </t>
  </si>
  <si>
    <t>year</t>
  </si>
  <si>
    <t>Population (15+ years old)</t>
  </si>
  <si>
    <t>e=b+d</t>
  </si>
  <si>
    <t>d=c/0.7</t>
  </si>
  <si>
    <t xml:space="preserve">millions </t>
  </si>
  <si>
    <t>g=f/c</t>
  </si>
  <si>
    <t>h=d*g</t>
  </si>
  <si>
    <t>g=c+d+e+f</t>
  </si>
  <si>
    <t>f=e/c</t>
  </si>
  <si>
    <t>g=d*f</t>
  </si>
  <si>
    <t>British American Tobacco brands</t>
  </si>
  <si>
    <t>British American Tobacco Total</t>
  </si>
  <si>
    <t>g=e/f</t>
  </si>
  <si>
    <t>2010-2016 (%)</t>
  </si>
  <si>
    <t xml:space="preserve">  </t>
  </si>
  <si>
    <t>Tonnes sold</t>
  </si>
  <si>
    <t xml:space="preserve">Total receipts </t>
  </si>
  <si>
    <t>Total RYO tobacco sold</t>
  </si>
  <si>
    <t>Total pipe tobacco sold</t>
  </si>
  <si>
    <t>Total cigars/cigarillo tobacco sold</t>
  </si>
  <si>
    <t>Total tobacco sold</t>
  </si>
  <si>
    <t>Glossary of Terms</t>
  </si>
  <si>
    <t>Brand variant/type</t>
  </si>
  <si>
    <t>Total sold</t>
  </si>
  <si>
    <t>Total receipts per million</t>
  </si>
  <si>
    <t>Total reciepts per tonne</t>
  </si>
  <si>
    <t>Total sold (kg)</t>
  </si>
  <si>
    <r>
      <t xml:space="preserve">Brand of total product, such as British American Tobacco </t>
    </r>
    <r>
      <rPr>
        <i/>
        <sz val="11"/>
        <color theme="1"/>
        <rFont val="Arial"/>
        <family val="2"/>
      </rPr>
      <t>Club</t>
    </r>
  </si>
  <si>
    <r>
      <t xml:space="preserve">Brand variant's of a particular tobacco product brand, such as Imperial Tobacco's Horizon </t>
    </r>
    <r>
      <rPr>
        <i/>
        <sz val="11"/>
        <color theme="1"/>
        <rFont val="Arial"/>
        <family val="2"/>
      </rPr>
      <t>Menthol</t>
    </r>
  </si>
  <si>
    <t>Number of cigarettes or loose tobacco or cigars/cigarillos in a pack. This can be measured in units (such as 20 cigarettes) or grams (such as 50gm of loose tobacco)</t>
  </si>
  <si>
    <t>The volume released for sale by tobacco companies. This figure can be expressed in units (such as 5,000 cigarettes or 500 cigars)</t>
  </si>
  <si>
    <t>The volume released for sale by tobacco companies. This figure is expressed in kilograms (such as 600 kg of loose tobacco)</t>
  </si>
  <si>
    <t>The volume released for sale by tobacco companies. This figure is expressed in tonnes (such as 50 T of loose tobacco)</t>
  </si>
  <si>
    <t>Figures from Treasury at the following link: http://www.treasury.govt.nz/government/revenue/taxoutturn ('tax outturn data monthly history')</t>
  </si>
  <si>
    <t>Tax revenue</t>
  </si>
  <si>
    <t>Total volume sold (cigarettes)</t>
  </si>
  <si>
    <t xml:space="preserve">Total RYO sold </t>
  </si>
  <si>
    <t>Total RYO sold*</t>
  </si>
  <si>
    <t>Total cigarettes sold (Cigarettes+RYO)</t>
  </si>
  <si>
    <t>cigarettes/population (15+)</t>
  </si>
  <si>
    <t>Total cigarettes sold/population (15+)</t>
  </si>
  <si>
    <t xml:space="preserve">Total volume sold (cigarettes) </t>
  </si>
  <si>
    <t>Cigarette consumption by brand</t>
  </si>
  <si>
    <t>Glossary of terms</t>
  </si>
  <si>
    <t>A.1 - British American Tobacco</t>
  </si>
  <si>
    <t>A.2 - Imperial Tobacco</t>
  </si>
  <si>
    <t>A.3 - Philip Morris</t>
  </si>
  <si>
    <t>A.4 - Other brands</t>
  </si>
  <si>
    <t>Roll-Your-Own tobacco consumption by brand</t>
  </si>
  <si>
    <t>B.2 - Imperial Tobacco</t>
  </si>
  <si>
    <t>B.3 - Philip Morris</t>
  </si>
  <si>
    <t xml:space="preserve">B.4 - Other brands </t>
  </si>
  <si>
    <t>B.1 - British American Tobacco</t>
  </si>
  <si>
    <t>Table A.1 - Cigarette consumption by brand (British American Tobacco)</t>
  </si>
  <si>
    <t>Table A.2 - Cigarette consumption by brand (Imperial)</t>
  </si>
  <si>
    <t>Table A.3 - Cigarette consumption by brand (Philip Morris)</t>
  </si>
  <si>
    <t>Table A.4 - Cigarette consumption by brand (Other brands)</t>
  </si>
  <si>
    <t>Table B.1 - Roll-Your-Own consumption by brand (British American Tobacco)</t>
  </si>
  <si>
    <t>B.4 - Roll-Your-Own consumption by brand (Other Brands)</t>
  </si>
  <si>
    <t>B.2 - Roll-Your-Own consumption by brand (Imperial)</t>
  </si>
  <si>
    <t>B.2 - Roll-Your-Own consumption by brand (Philip Morris)</t>
  </si>
  <si>
    <t>Pipe tobacco consumption</t>
  </si>
  <si>
    <t>Cigar and Cigarillo tobacco consumption</t>
  </si>
  <si>
    <t>Cigars and Cigarillo consumption</t>
  </si>
  <si>
    <t xml:space="preserve">Tobacco products sales (total), 2010-2016 </t>
  </si>
  <si>
    <t>Total consumption trends per capita (15+ years old)</t>
  </si>
  <si>
    <t>Total tobacco product sales (cigarettes &amp; roll-your-own)</t>
  </si>
  <si>
    <t>Tobacco product sales</t>
  </si>
  <si>
    <t>Total tobacco products sales (2010-2016)</t>
  </si>
  <si>
    <t>Tax revenue from tobacco products (2009-2016)</t>
  </si>
  <si>
    <t xml:space="preserve">Top selling tobacco products </t>
  </si>
  <si>
    <t>Top selling cigarette brands</t>
  </si>
  <si>
    <t xml:space="preserve">Top selling roll-your-own tobacco brands </t>
  </si>
  <si>
    <t>Top selling tobacco products by brand (roll-your-own tobacco), 2010-2016</t>
  </si>
  <si>
    <t>Top selling tobacco products by brand (cigarettes), 2010-2016</t>
  </si>
  <si>
    <t xml:space="preserve">2016 Tobacco Returns </t>
  </si>
  <si>
    <t>Contents</t>
  </si>
  <si>
    <t xml:space="preserve">Tobacco product sales (cigarettes and roll-your-own), 2016 </t>
  </si>
  <si>
    <t>Total volume sold (cigarettes)*</t>
  </si>
  <si>
    <t>*1 cigarette is equivalent to 0.7 grams of loose tobacco</t>
  </si>
  <si>
    <t xml:space="preserve">*1 cigarette is equivalent to 0.7 grams of loose tobacco </t>
  </si>
  <si>
    <t>Tax revenue outturns from tobacco products, 2009-2016</t>
  </si>
  <si>
    <t>The accrual, rather than the cash (“tax receipts”) measure of taxation. It is a measure of tax due, regardless of whether or not it has actually been paid</t>
  </si>
  <si>
    <t>dollars</t>
  </si>
  <si>
    <t>Total receipts*</t>
  </si>
  <si>
    <t>dollars (millions)</t>
  </si>
  <si>
    <t>f=(d/e)*1000</t>
  </si>
  <si>
    <t>cigar/cigarillos</t>
  </si>
  <si>
    <t>John Player Special</t>
  </si>
  <si>
    <t xml:space="preserve">The amount of tobacco in a cigar or cigaillo, calculated by multiplying the total tobacco sold (kgs) by volume sold (individual units) [y=total tobacco sold*volume sold]. </t>
  </si>
  <si>
    <t xml:space="preserve">This figure is expressed in grams </t>
  </si>
  <si>
    <t xml:space="preserve">Money received from the sale of cigarettes or loose tobacco or cigars/cigarillos. In this case, the term receipts acknowledges the amount of money spent by consumers on </t>
  </si>
  <si>
    <t xml:space="preserve"> tobacco products. This figure is expressed in cost per million</t>
  </si>
  <si>
    <t>tobacco products. This figure is expressed in cost per tonne</t>
  </si>
  <si>
    <t>Cost of an individual cigarette, calculated from dividing the cost per pack by pack size [y=cost per pack/pack size]</t>
  </si>
  <si>
    <t>Cost of one gram of loose tobacco, calculated from dividing the cost per pack of loose tobacco by pack size [y=cost per pack/pack size]</t>
  </si>
  <si>
    <t xml:space="preserve">Recommended retail price of a pack of cigarettes (such as $29.50 for a pack of 20 cigarettes) or loose tobacco pouch/tin (such as $50.00 for a 30gm pouch of loose tobacco) </t>
  </si>
  <si>
    <t>*data calculated from returns by adding together every cigar/cigarillo brand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</si>
</sst>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0.000"/>
    <numFmt numFmtId="166" formatCode="#,##0.0"/>
    <numFmt numFmtId="167" formatCode="0.0000"/>
    <numFmt numFmtId="168" formatCode="_-[$$-1409]* #,##0.00_-;\-[$$-1409]* #,##0.00_-;_-[$$-1409]* &quot;-&quot;??_-;_-@_-"/>
    <numFmt numFmtId="169" formatCode="#,##0.000"/>
    <numFmt numFmtId="170" formatCode="#,##0.0000"/>
    <numFmt numFmtId="171" formatCode="0E+00"/>
    <numFmt numFmtId="172" formatCode="#,##0.00_ ;\-#,##0.00\ "/>
  </numFmts>
  <fonts count="1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10"/>
      <color theme="1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20"/>
      <name val="Arial"/>
      <family val="2"/>
    </font>
    <font>
      <b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CC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0" xfId="0" applyNumberFormat="1" applyBorder="1"/>
    <xf numFmtId="2" fontId="0" fillId="0" borderId="0" xfId="0" applyNumberFormat="1" applyBorder="1"/>
    <xf numFmtId="0" fontId="3" fillId="0" borderId="0" xfId="0" quotePrefix="1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quotePrefix="1" applyFont="1" applyFill="1" applyAlignment="1">
      <alignment horizontal="center"/>
    </xf>
    <xf numFmtId="0" fontId="0" fillId="3" borderId="0" xfId="0" applyFill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0" fillId="2" borderId="0" xfId="0" applyFont="1" applyFill="1" applyBorder="1"/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2" fontId="0" fillId="0" borderId="0" xfId="0" applyNumberFormat="1" applyFill="1" applyAlignment="1">
      <alignment horizontal="center"/>
    </xf>
    <xf numFmtId="0" fontId="1" fillId="2" borderId="2" xfId="0" applyFont="1" applyFill="1" applyBorder="1"/>
    <xf numFmtId="0" fontId="0" fillId="0" borderId="0" xfId="0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2" borderId="0" xfId="0" applyFont="1" applyFill="1"/>
    <xf numFmtId="0" fontId="0" fillId="2" borderId="1" xfId="0" applyFont="1" applyFill="1" applyBorder="1"/>
    <xf numFmtId="0" fontId="0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quotePrefix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1" fillId="2" borderId="1" xfId="0" applyFont="1" applyFill="1" applyBorder="1"/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wrapText="1"/>
    </xf>
    <xf numFmtId="0" fontId="4" fillId="3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4" xfId="0" applyFont="1" applyFill="1" applyBorder="1" applyAlignment="1">
      <alignment horizontal="center"/>
    </xf>
    <xf numFmtId="166" fontId="4" fillId="3" borderId="3" xfId="0" applyNumberFormat="1" applyFont="1" applyFill="1" applyBorder="1" applyAlignment="1">
      <alignment horizontal="center"/>
    </xf>
    <xf numFmtId="166" fontId="4" fillId="3" borderId="5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164" fontId="4" fillId="3" borderId="3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Fon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1" fontId="4" fillId="2" borderId="8" xfId="0" applyNumberFormat="1" applyFont="1" applyFill="1" applyBorder="1" applyAlignment="1">
      <alignment horizontal="center"/>
    </xf>
    <xf numFmtId="1" fontId="0" fillId="4" borderId="6" xfId="0" applyNumberFormat="1" applyFill="1" applyBorder="1" applyAlignment="1">
      <alignment horizontal="center"/>
    </xf>
    <xf numFmtId="1" fontId="0" fillId="4" borderId="7" xfId="0" applyNumberFormat="1" applyFill="1" applyBorder="1" applyAlignment="1">
      <alignment horizontal="center"/>
    </xf>
    <xf numFmtId="1" fontId="4" fillId="4" borderId="8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0" borderId="0" xfId="0" applyFill="1" applyBorder="1"/>
    <xf numFmtId="1" fontId="4" fillId="0" borderId="0" xfId="0" applyNumberFormat="1" applyFon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quotePrefix="1" applyFont="1" applyFill="1" applyAlignment="1">
      <alignment horizontal="center"/>
    </xf>
    <xf numFmtId="0" fontId="0" fillId="3" borderId="0" xfId="0" applyFill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67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7" fontId="0" fillId="0" borderId="4" xfId="0" applyNumberFormat="1" applyFill="1" applyBorder="1" applyAlignment="1">
      <alignment horizontal="center"/>
    </xf>
    <xf numFmtId="167" fontId="0" fillId="0" borderId="9" xfId="0" applyNumberFormat="1" applyFill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4" fontId="0" fillId="0" borderId="0" xfId="0" applyNumberFormat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2" fontId="0" fillId="0" borderId="0" xfId="0" applyNumberFormat="1" applyFill="1" applyBorder="1"/>
    <xf numFmtId="3" fontId="0" fillId="0" borderId="0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3" borderId="2" xfId="0" applyFont="1" applyFill="1" applyBorder="1"/>
    <xf numFmtId="2" fontId="1" fillId="3" borderId="2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2" fontId="1" fillId="3" borderId="2" xfId="0" applyNumberFormat="1" applyFont="1" applyFill="1" applyBorder="1"/>
    <xf numFmtId="164" fontId="1" fillId="0" borderId="2" xfId="0" applyNumberFormat="1" applyFont="1" applyFill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0" xfId="1" applyFont="1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3" borderId="2" xfId="0" applyNumberFormat="1" applyFont="1" applyFill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170" fontId="0" fillId="0" borderId="0" xfId="0" applyNumberFormat="1" applyBorder="1" applyAlignment="1">
      <alignment horizontal="center"/>
    </xf>
    <xf numFmtId="169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9" fontId="1" fillId="3" borderId="2" xfId="0" applyNumberFormat="1" applyFont="1" applyFill="1" applyBorder="1" applyAlignment="1">
      <alignment horizontal="center"/>
    </xf>
    <xf numFmtId="165" fontId="1" fillId="3" borderId="2" xfId="0" applyNumberFormat="1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0" fillId="0" borderId="0" xfId="0" applyFill="1"/>
    <xf numFmtId="0" fontId="1" fillId="3" borderId="0" xfId="0" applyFont="1" applyFill="1"/>
    <xf numFmtId="2" fontId="1" fillId="3" borderId="0" xfId="0" applyNumberFormat="1" applyFont="1" applyFill="1" applyAlignment="1">
      <alignment horizontal="center"/>
    </xf>
    <xf numFmtId="3" fontId="1" fillId="3" borderId="0" xfId="0" applyNumberFormat="1" applyFont="1" applyFill="1" applyAlignment="1">
      <alignment horizontal="center"/>
    </xf>
    <xf numFmtId="44" fontId="0" fillId="0" borderId="0" xfId="0" applyNumberFormat="1"/>
    <xf numFmtId="0" fontId="0" fillId="0" borderId="0" xfId="0" applyAlignment="1">
      <alignment horizontal="center"/>
    </xf>
    <xf numFmtId="169" fontId="0" fillId="0" borderId="0" xfId="0" applyNumberFormat="1"/>
    <xf numFmtId="168" fontId="0" fillId="0" borderId="0" xfId="0" applyNumberFormat="1"/>
    <xf numFmtId="4" fontId="0" fillId="0" borderId="0" xfId="0" applyNumberFormat="1"/>
    <xf numFmtId="164" fontId="0" fillId="0" borderId="0" xfId="0" applyNumberFormat="1" applyFon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2" fontId="1" fillId="0" borderId="0" xfId="0" applyNumberFormat="1" applyFont="1" applyFill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3" borderId="2" xfId="0" applyNumberFormat="1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quotePrefix="1" applyFill="1" applyBorder="1" applyAlignment="1">
      <alignment horizontal="center"/>
    </xf>
    <xf numFmtId="43" fontId="0" fillId="0" borderId="0" xfId="0" applyNumberFormat="1" applyBorder="1"/>
    <xf numFmtId="171" fontId="0" fillId="0" borderId="0" xfId="0" applyNumberFormat="1"/>
    <xf numFmtId="4" fontId="0" fillId="0" borderId="0" xfId="0" applyNumberFormat="1" applyAlignment="1">
      <alignment horizontal="center"/>
    </xf>
    <xf numFmtId="2" fontId="0" fillId="0" borderId="0" xfId="1" applyNumberFormat="1" applyFont="1" applyBorder="1" applyAlignment="1">
      <alignment horizontal="center" vertical="top"/>
    </xf>
    <xf numFmtId="2" fontId="0" fillId="0" borderId="0" xfId="0" applyNumberFormat="1" applyBorder="1" applyAlignment="1">
      <alignment horizontal="center" vertical="top"/>
    </xf>
    <xf numFmtId="2" fontId="0" fillId="0" borderId="2" xfId="0" applyNumberFormat="1" applyBorder="1" applyAlignment="1">
      <alignment horizontal="center" vertical="top"/>
    </xf>
    <xf numFmtId="2" fontId="1" fillId="3" borderId="2" xfId="1" applyNumberFormat="1" applyFont="1" applyFill="1" applyBorder="1" applyAlignment="1">
      <alignment horizontal="center" vertical="top"/>
    </xf>
    <xf numFmtId="2" fontId="0" fillId="0" borderId="2" xfId="1" applyNumberFormat="1" applyFont="1" applyBorder="1" applyAlignment="1">
      <alignment horizontal="center" vertical="top"/>
    </xf>
    <xf numFmtId="2" fontId="0" fillId="0" borderId="0" xfId="1" applyNumberFormat="1" applyFont="1" applyBorder="1" applyAlignment="1">
      <alignment horizontal="center"/>
    </xf>
    <xf numFmtId="2" fontId="0" fillId="0" borderId="2" xfId="1" applyNumberFormat="1" applyFont="1" applyBorder="1" applyAlignment="1">
      <alignment horizontal="center"/>
    </xf>
    <xf numFmtId="2" fontId="1" fillId="3" borderId="2" xfId="1" applyNumberFormat="1" applyFont="1" applyFill="1" applyBorder="1" applyAlignment="1">
      <alignment horizontal="center"/>
    </xf>
    <xf numFmtId="2" fontId="0" fillId="0" borderId="0" xfId="1" applyNumberFormat="1" applyFont="1" applyAlignment="1">
      <alignment horizontal="center"/>
    </xf>
    <xf numFmtId="2" fontId="0" fillId="0" borderId="1" xfId="1" applyNumberFormat="1" applyFont="1" applyBorder="1" applyAlignment="1">
      <alignment horizontal="center"/>
    </xf>
    <xf numFmtId="2" fontId="1" fillId="3" borderId="0" xfId="1" applyNumberFormat="1" applyFont="1" applyFill="1" applyBorder="1" applyAlignment="1">
      <alignment horizontal="center"/>
    </xf>
    <xf numFmtId="2" fontId="0" fillId="0" borderId="0" xfId="1" applyNumberFormat="1" applyFont="1" applyBorder="1"/>
    <xf numFmtId="1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ont="1"/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Fill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9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0" fillId="0" borderId="0" xfId="0" applyFont="1" applyAlignment="1">
      <alignment horizontal="left" indent="2"/>
    </xf>
    <xf numFmtId="0" fontId="0" fillId="0" borderId="0" xfId="0" applyFont="1" applyAlignment="1">
      <alignment horizontal="left" vertical="center" indent="2"/>
    </xf>
    <xf numFmtId="0" fontId="14" fillId="0" borderId="0" xfId="0" applyFont="1"/>
    <xf numFmtId="0" fontId="15" fillId="0" borderId="0" xfId="0" applyFont="1"/>
    <xf numFmtId="2" fontId="0" fillId="0" borderId="1" xfId="0" applyNumberFormat="1" applyBorder="1"/>
    <xf numFmtId="172" fontId="0" fillId="0" borderId="0" xfId="1" applyNumberFormat="1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C27" sqref="C27"/>
    </sheetView>
  </sheetViews>
  <sheetFormatPr defaultRowHeight="12.75" x14ac:dyDescent="0.2"/>
  <cols>
    <col min="1" max="1" width="3.28515625" customWidth="1"/>
    <col min="2" max="2" width="57.5703125" customWidth="1"/>
    <col min="3" max="3" width="31.85546875" customWidth="1"/>
  </cols>
  <sheetData>
    <row r="1" spans="1:3" ht="26.25" x14ac:dyDescent="0.4">
      <c r="A1" s="197" t="s">
        <v>268</v>
      </c>
    </row>
    <row r="2" spans="1:3" ht="18.75" customHeight="1" x14ac:dyDescent="0.4">
      <c r="A2" s="197"/>
    </row>
    <row r="3" spans="1:3" ht="20.25" x14ac:dyDescent="0.3">
      <c r="A3" s="198" t="s">
        <v>269</v>
      </c>
    </row>
    <row r="5" spans="1:3" ht="18" customHeight="1" x14ac:dyDescent="0.25">
      <c r="A5">
        <v>1</v>
      </c>
      <c r="B5" s="189" t="s">
        <v>236</v>
      </c>
    </row>
    <row r="6" spans="1:3" ht="18.75" customHeight="1" x14ac:dyDescent="0.25">
      <c r="A6">
        <v>2</v>
      </c>
      <c r="B6" s="189" t="s">
        <v>235</v>
      </c>
    </row>
    <row r="7" spans="1:3" ht="18.75" customHeight="1" x14ac:dyDescent="0.2">
      <c r="B7" s="195" t="s">
        <v>237</v>
      </c>
    </row>
    <row r="8" spans="1:3" ht="18.75" customHeight="1" x14ac:dyDescent="0.2">
      <c r="B8" s="195" t="s">
        <v>238</v>
      </c>
    </row>
    <row r="9" spans="1:3" ht="18.75" customHeight="1" x14ac:dyDescent="0.2">
      <c r="B9" s="195" t="s">
        <v>239</v>
      </c>
    </row>
    <row r="10" spans="1:3" ht="18.75" customHeight="1" x14ac:dyDescent="0.25">
      <c r="B10" s="195" t="s">
        <v>240</v>
      </c>
      <c r="C10" s="189"/>
    </row>
    <row r="11" spans="1:3" ht="19.5" customHeight="1" x14ac:dyDescent="0.25">
      <c r="A11">
        <v>3</v>
      </c>
      <c r="B11" s="189" t="s">
        <v>241</v>
      </c>
    </row>
    <row r="12" spans="1:3" x14ac:dyDescent="0.2">
      <c r="B12" s="195" t="s">
        <v>245</v>
      </c>
    </row>
    <row r="13" spans="1:3" ht="17.25" customHeight="1" x14ac:dyDescent="0.2">
      <c r="B13" s="195" t="s">
        <v>242</v>
      </c>
    </row>
    <row r="14" spans="1:3" ht="17.25" customHeight="1" x14ac:dyDescent="0.2">
      <c r="B14" s="195" t="s">
        <v>243</v>
      </c>
    </row>
    <row r="15" spans="1:3" ht="17.25" customHeight="1" x14ac:dyDescent="0.25">
      <c r="B15" s="195" t="s">
        <v>244</v>
      </c>
      <c r="C15" s="189"/>
    </row>
    <row r="16" spans="1:3" ht="17.25" customHeight="1" x14ac:dyDescent="0.25">
      <c r="A16">
        <v>4</v>
      </c>
      <c r="B16" s="189" t="s">
        <v>254</v>
      </c>
    </row>
    <row r="17" spans="1:2" ht="17.25" customHeight="1" x14ac:dyDescent="0.25">
      <c r="A17">
        <v>5</v>
      </c>
      <c r="B17" s="189" t="s">
        <v>255</v>
      </c>
    </row>
    <row r="18" spans="1:2" ht="20.25" customHeight="1" x14ac:dyDescent="0.25">
      <c r="A18">
        <v>6</v>
      </c>
      <c r="B18" s="189" t="s">
        <v>260</v>
      </c>
    </row>
    <row r="19" spans="1:2" ht="20.25" customHeight="1" x14ac:dyDescent="0.2">
      <c r="B19" s="195" t="s">
        <v>261</v>
      </c>
    </row>
    <row r="20" spans="1:2" ht="20.25" customHeight="1" x14ac:dyDescent="0.2">
      <c r="B20" s="195" t="s">
        <v>259</v>
      </c>
    </row>
    <row r="21" spans="1:2" ht="18" customHeight="1" x14ac:dyDescent="0.25">
      <c r="A21">
        <v>7</v>
      </c>
      <c r="B21" s="189" t="s">
        <v>258</v>
      </c>
    </row>
    <row r="22" spans="1:2" ht="17.25" customHeight="1" x14ac:dyDescent="0.25">
      <c r="A22">
        <v>8</v>
      </c>
      <c r="B22" s="189" t="s">
        <v>262</v>
      </c>
    </row>
    <row r="23" spans="1:2" ht="18.75" customHeight="1" x14ac:dyDescent="0.25">
      <c r="A23">
        <v>9</v>
      </c>
      <c r="B23" s="189" t="s">
        <v>263</v>
      </c>
    </row>
    <row r="24" spans="1:2" ht="16.5" customHeight="1" x14ac:dyDescent="0.2">
      <c r="B24" s="196" t="s">
        <v>264</v>
      </c>
    </row>
    <row r="25" spans="1:2" ht="16.5" customHeight="1" x14ac:dyDescent="0.2">
      <c r="B25" s="196" t="s">
        <v>265</v>
      </c>
    </row>
  </sheetData>
  <pageMargins left="0.7" right="0.7" top="0.75" bottom="0.75" header="0.3" footer="0.3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H6" sqref="H6"/>
    </sheetView>
  </sheetViews>
  <sheetFormatPr defaultRowHeight="12.75" x14ac:dyDescent="0.2"/>
  <cols>
    <col min="1" max="1" width="27.7109375" customWidth="1"/>
    <col min="2" max="2" width="26.42578125" customWidth="1"/>
    <col min="3" max="3" width="17.7109375" customWidth="1"/>
    <col min="4" max="4" width="27.85546875" customWidth="1"/>
    <col min="5" max="5" width="20.7109375" customWidth="1"/>
    <col min="6" max="6" width="15.28515625" customWidth="1"/>
    <col min="7" max="7" width="19.28515625" customWidth="1"/>
    <col min="8" max="8" width="20.42578125" customWidth="1"/>
    <col min="9" max="9" width="9.85546875" customWidth="1"/>
    <col min="10" max="10" width="18.7109375" customWidth="1"/>
  </cols>
  <sheetData>
    <row r="1" spans="1:8" ht="18" x14ac:dyDescent="0.25">
      <c r="A1" s="185" t="s">
        <v>251</v>
      </c>
    </row>
    <row r="2" spans="1:8" x14ac:dyDescent="0.2">
      <c r="A2" s="2"/>
    </row>
    <row r="3" spans="1:8" x14ac:dyDescent="0.2">
      <c r="A3" s="44" t="s">
        <v>0</v>
      </c>
      <c r="B3" s="44" t="s">
        <v>86</v>
      </c>
      <c r="C3" s="44" t="s">
        <v>2</v>
      </c>
      <c r="D3" s="44" t="s">
        <v>208</v>
      </c>
      <c r="E3" s="44" t="s">
        <v>185</v>
      </c>
      <c r="F3" s="144" t="s">
        <v>189</v>
      </c>
      <c r="G3" s="144" t="s">
        <v>209</v>
      </c>
    </row>
    <row r="4" spans="1:8" x14ac:dyDescent="0.2">
      <c r="A4" s="44"/>
      <c r="B4" s="44"/>
      <c r="C4" s="74" t="s">
        <v>188</v>
      </c>
      <c r="D4" s="74" t="s">
        <v>181</v>
      </c>
      <c r="E4" s="74" t="s">
        <v>276</v>
      </c>
      <c r="F4" s="74" t="s">
        <v>276</v>
      </c>
      <c r="G4" s="74" t="s">
        <v>278</v>
      </c>
    </row>
    <row r="5" spans="1:8" x14ac:dyDescent="0.2">
      <c r="A5" s="44"/>
      <c r="B5" s="44"/>
      <c r="C5" s="74"/>
      <c r="D5" s="74"/>
      <c r="E5" s="74"/>
      <c r="F5" s="74" t="s">
        <v>198</v>
      </c>
      <c r="G5" s="74" t="s">
        <v>199</v>
      </c>
    </row>
    <row r="6" spans="1:8" x14ac:dyDescent="0.2">
      <c r="A6" s="35" t="s">
        <v>133</v>
      </c>
      <c r="B6" s="36"/>
      <c r="C6" s="37"/>
      <c r="D6" s="15" t="s">
        <v>133</v>
      </c>
      <c r="E6" s="16"/>
      <c r="F6" s="16"/>
      <c r="G6" s="16"/>
    </row>
    <row r="7" spans="1:8" x14ac:dyDescent="0.2">
      <c r="A7" s="46" t="s">
        <v>109</v>
      </c>
      <c r="B7" s="36" t="s">
        <v>110</v>
      </c>
      <c r="C7" s="37">
        <v>40</v>
      </c>
      <c r="D7" s="16">
        <f>49.96/1000</f>
        <v>4.9959999999999997E-2</v>
      </c>
      <c r="E7" s="16">
        <v>78</v>
      </c>
      <c r="F7" s="6">
        <f>E7/C7</f>
        <v>1.95</v>
      </c>
      <c r="G7" s="178">
        <f>D7*F7</f>
        <v>9.7421999999999995E-2</v>
      </c>
      <c r="H7" s="57"/>
    </row>
    <row r="8" spans="1:8" x14ac:dyDescent="0.2">
      <c r="A8" s="46"/>
      <c r="B8" s="36" t="s">
        <v>91</v>
      </c>
      <c r="C8" s="37">
        <v>40</v>
      </c>
      <c r="D8" s="16">
        <f>17.16/1000</f>
        <v>1.7160000000000002E-2</v>
      </c>
      <c r="E8" s="16">
        <v>78</v>
      </c>
      <c r="F8" s="16">
        <f>E8/C8</f>
        <v>1.95</v>
      </c>
      <c r="G8" s="178">
        <f>D8*F8</f>
        <v>3.3462000000000006E-2</v>
      </c>
      <c r="H8" s="3"/>
    </row>
    <row r="9" spans="1:8" x14ac:dyDescent="0.2">
      <c r="A9" s="56"/>
      <c r="B9" s="38"/>
      <c r="C9" s="39"/>
      <c r="D9" s="161">
        <f>SUM(D7:D8)</f>
        <v>6.7119999999999999E-2</v>
      </c>
      <c r="E9" s="18"/>
      <c r="F9" s="18"/>
      <c r="G9" s="179"/>
      <c r="H9" s="150"/>
    </row>
    <row r="10" spans="1:8" x14ac:dyDescent="0.2">
      <c r="A10" s="35" t="s">
        <v>83</v>
      </c>
      <c r="B10" s="36"/>
      <c r="C10" s="37"/>
      <c r="D10" s="160" t="s">
        <v>83</v>
      </c>
      <c r="E10" s="16"/>
      <c r="F10" s="6"/>
      <c r="G10" s="175"/>
      <c r="H10" s="3"/>
    </row>
    <row r="11" spans="1:8" x14ac:dyDescent="0.2">
      <c r="A11" s="46" t="s">
        <v>124</v>
      </c>
      <c r="B11" s="36" t="s">
        <v>126</v>
      </c>
      <c r="C11" s="37">
        <v>30</v>
      </c>
      <c r="D11" s="16">
        <f>2788.92/1000</f>
        <v>2.7889200000000001</v>
      </c>
      <c r="E11" s="16">
        <v>40.9</v>
      </c>
      <c r="F11" s="6">
        <f t="shared" ref="F11:F16" si="0">E11/C11</f>
        <v>1.3633333333333333</v>
      </c>
      <c r="G11" s="178">
        <f t="shared" ref="G11:G16" si="1">D11*F11</f>
        <v>3.8022276000000002</v>
      </c>
      <c r="H11" s="3"/>
    </row>
    <row r="12" spans="1:8" x14ac:dyDescent="0.2">
      <c r="A12" s="46"/>
      <c r="B12" s="36" t="s">
        <v>125</v>
      </c>
      <c r="C12" s="37">
        <v>30</v>
      </c>
      <c r="D12" s="16">
        <f>2369.68/1000</f>
        <v>2.3696799999999998</v>
      </c>
      <c r="E12" s="16">
        <v>41.9</v>
      </c>
      <c r="F12" s="6">
        <f t="shared" si="0"/>
        <v>1.3966666666666667</v>
      </c>
      <c r="G12" s="178">
        <f t="shared" si="1"/>
        <v>3.3096530666666664</v>
      </c>
      <c r="H12" s="3"/>
    </row>
    <row r="13" spans="1:8" x14ac:dyDescent="0.2">
      <c r="A13" s="46" t="s">
        <v>127</v>
      </c>
      <c r="B13" s="36" t="s">
        <v>129</v>
      </c>
      <c r="C13" s="37">
        <v>30</v>
      </c>
      <c r="D13" s="16">
        <f>356.04/1000</f>
        <v>0.35604000000000002</v>
      </c>
      <c r="E13" s="16">
        <v>41.9</v>
      </c>
      <c r="F13" s="6">
        <f t="shared" si="0"/>
        <v>1.3966666666666667</v>
      </c>
      <c r="G13" s="178">
        <f t="shared" si="1"/>
        <v>0.49726920000000008</v>
      </c>
      <c r="H13" s="3"/>
    </row>
    <row r="14" spans="1:8" x14ac:dyDescent="0.2">
      <c r="A14" s="46"/>
      <c r="B14" s="36" t="s">
        <v>128</v>
      </c>
      <c r="C14" s="37">
        <v>30</v>
      </c>
      <c r="D14" s="16">
        <f>2551/1000</f>
        <v>2.5510000000000002</v>
      </c>
      <c r="E14" s="16">
        <v>40.9</v>
      </c>
      <c r="F14" s="6">
        <f t="shared" si="0"/>
        <v>1.3633333333333333</v>
      </c>
      <c r="G14" s="178">
        <f t="shared" si="1"/>
        <v>3.4778633333333335</v>
      </c>
      <c r="H14" s="3"/>
    </row>
    <row r="15" spans="1:8" x14ac:dyDescent="0.2">
      <c r="A15" s="46" t="s">
        <v>130</v>
      </c>
      <c r="B15" s="36" t="s">
        <v>131</v>
      </c>
      <c r="C15" s="37">
        <v>30</v>
      </c>
      <c r="D15" s="16">
        <v>0</v>
      </c>
      <c r="E15" s="16">
        <v>45</v>
      </c>
      <c r="F15" s="6">
        <f t="shared" si="0"/>
        <v>1.5</v>
      </c>
      <c r="G15" s="178">
        <f t="shared" si="1"/>
        <v>0</v>
      </c>
      <c r="H15" s="3"/>
    </row>
    <row r="16" spans="1:8" x14ac:dyDescent="0.2">
      <c r="A16" s="46"/>
      <c r="B16" s="36" t="s">
        <v>131</v>
      </c>
      <c r="C16" s="37">
        <v>35</v>
      </c>
      <c r="D16" s="16">
        <f>180.88/1000</f>
        <v>0.18087999999999999</v>
      </c>
      <c r="E16" s="16">
        <v>49.5</v>
      </c>
      <c r="F16" s="16">
        <f t="shared" si="0"/>
        <v>1.4142857142857144</v>
      </c>
      <c r="G16" s="178">
        <f t="shared" si="1"/>
        <v>0.25581599999999999</v>
      </c>
      <c r="H16" s="3"/>
    </row>
    <row r="17" spans="1:9" x14ac:dyDescent="0.2">
      <c r="A17" s="56"/>
      <c r="B17" s="38"/>
      <c r="C17" s="39"/>
      <c r="D17" s="161">
        <f>SUM(D11:D16)</f>
        <v>8.2465200000000003</v>
      </c>
      <c r="E17" s="18"/>
      <c r="F17" s="18"/>
      <c r="G17" s="179"/>
      <c r="H17" s="150"/>
    </row>
    <row r="18" spans="1:9" x14ac:dyDescent="0.2">
      <c r="A18" s="49" t="s">
        <v>132</v>
      </c>
      <c r="B18" s="36"/>
      <c r="C18" s="36"/>
      <c r="D18" s="162" t="s">
        <v>132</v>
      </c>
      <c r="E18" s="13"/>
      <c r="F18" s="6"/>
      <c r="G18" s="175"/>
    </row>
    <row r="19" spans="1:9" x14ac:dyDescent="0.2">
      <c r="A19" s="46" t="s">
        <v>104</v>
      </c>
      <c r="B19" s="36"/>
      <c r="C19" s="37">
        <v>30</v>
      </c>
      <c r="D19" s="16">
        <f>9/1000</f>
        <v>8.9999999999999993E-3</v>
      </c>
      <c r="E19" s="16">
        <v>37</v>
      </c>
      <c r="F19" s="6">
        <f t="shared" ref="F19:F30" si="2">E19/C19</f>
        <v>1.2333333333333334</v>
      </c>
      <c r="G19" s="178">
        <f t="shared" ref="G19:G30" si="3">D19*F19</f>
        <v>1.11E-2</v>
      </c>
      <c r="H19" s="12"/>
    </row>
    <row r="20" spans="1:9" x14ac:dyDescent="0.2">
      <c r="A20" s="46"/>
      <c r="B20" s="36"/>
      <c r="C20" s="37">
        <v>50</v>
      </c>
      <c r="D20" s="16">
        <f>124.6/1000</f>
        <v>0.12459999999999999</v>
      </c>
      <c r="E20" s="16">
        <v>60.5</v>
      </c>
      <c r="F20" s="6">
        <f t="shared" si="2"/>
        <v>1.21</v>
      </c>
      <c r="G20" s="178">
        <f t="shared" si="3"/>
        <v>0.15076599999999998</v>
      </c>
      <c r="H20" s="12"/>
    </row>
    <row r="21" spans="1:9" x14ac:dyDescent="0.2">
      <c r="A21" s="46" t="s">
        <v>105</v>
      </c>
      <c r="B21" s="36"/>
      <c r="C21" s="37">
        <v>30</v>
      </c>
      <c r="D21" s="16">
        <f>407.7/1000</f>
        <v>0.40770000000000001</v>
      </c>
      <c r="E21" s="16">
        <v>37</v>
      </c>
      <c r="F21" s="6">
        <f t="shared" si="2"/>
        <v>1.2333333333333334</v>
      </c>
      <c r="G21" s="178">
        <f t="shared" si="3"/>
        <v>0.50283</v>
      </c>
      <c r="H21" s="12"/>
    </row>
    <row r="22" spans="1:9" x14ac:dyDescent="0.2">
      <c r="A22" s="46"/>
      <c r="B22" s="36"/>
      <c r="C22" s="37">
        <v>50</v>
      </c>
      <c r="D22" s="16">
        <f>358/1000</f>
        <v>0.35799999999999998</v>
      </c>
      <c r="E22" s="16">
        <v>60.5</v>
      </c>
      <c r="F22" s="6">
        <f t="shared" si="2"/>
        <v>1.21</v>
      </c>
      <c r="G22" s="178">
        <f t="shared" si="3"/>
        <v>0.43317999999999995</v>
      </c>
      <c r="H22" s="12"/>
    </row>
    <row r="23" spans="1:9" x14ac:dyDescent="0.2">
      <c r="A23" s="46"/>
      <c r="B23" s="36" t="s">
        <v>50</v>
      </c>
      <c r="C23" s="37">
        <v>30</v>
      </c>
      <c r="D23" s="16">
        <f>165.66/1000</f>
        <v>0.16566</v>
      </c>
      <c r="E23" s="16">
        <v>38</v>
      </c>
      <c r="F23" s="6">
        <f t="shared" si="2"/>
        <v>1.2666666666666666</v>
      </c>
      <c r="G23" s="178">
        <f t="shared" si="3"/>
        <v>0.20983599999999999</v>
      </c>
      <c r="H23" s="12"/>
    </row>
    <row r="24" spans="1:9" x14ac:dyDescent="0.2">
      <c r="A24" s="46" t="s">
        <v>106</v>
      </c>
      <c r="B24" s="36"/>
      <c r="C24" s="37">
        <v>30</v>
      </c>
      <c r="D24" s="16">
        <f>280.56/1000</f>
        <v>0.28055999999999998</v>
      </c>
      <c r="E24" s="16">
        <v>37</v>
      </c>
      <c r="F24" s="6">
        <f t="shared" si="2"/>
        <v>1.2333333333333334</v>
      </c>
      <c r="G24" s="178">
        <f t="shared" si="3"/>
        <v>0.346024</v>
      </c>
      <c r="H24" s="12"/>
    </row>
    <row r="25" spans="1:9" x14ac:dyDescent="0.2">
      <c r="A25" s="46"/>
      <c r="B25" s="36"/>
      <c r="C25" s="37">
        <v>50</v>
      </c>
      <c r="D25" s="16">
        <f>190.65/1000</f>
        <v>0.19065000000000001</v>
      </c>
      <c r="E25" s="16">
        <v>60.5</v>
      </c>
      <c r="F25" s="6">
        <f t="shared" si="2"/>
        <v>1.21</v>
      </c>
      <c r="G25" s="178">
        <f t="shared" si="3"/>
        <v>0.23068650000000002</v>
      </c>
      <c r="H25" s="12"/>
    </row>
    <row r="26" spans="1:9" x14ac:dyDescent="0.2">
      <c r="A26" s="46" t="s">
        <v>107</v>
      </c>
      <c r="B26" s="36"/>
      <c r="C26" s="37">
        <v>40</v>
      </c>
      <c r="D26" s="16">
        <f>191.8/1000</f>
        <v>0.1918</v>
      </c>
      <c r="E26" s="16">
        <v>48.5</v>
      </c>
      <c r="F26" s="6">
        <f t="shared" si="2"/>
        <v>1.2124999999999999</v>
      </c>
      <c r="G26" s="178">
        <f t="shared" si="3"/>
        <v>0.23255749999999997</v>
      </c>
      <c r="H26" s="12"/>
    </row>
    <row r="27" spans="1:9" x14ac:dyDescent="0.2">
      <c r="A27" s="46"/>
      <c r="B27" s="36"/>
      <c r="C27" s="37">
        <v>50</v>
      </c>
      <c r="D27" s="16">
        <f>136.65/1000</f>
        <v>0.13664999999999999</v>
      </c>
      <c r="E27" s="16">
        <v>60.5</v>
      </c>
      <c r="F27" s="6">
        <f t="shared" si="2"/>
        <v>1.21</v>
      </c>
      <c r="G27" s="178">
        <f t="shared" si="3"/>
        <v>0.16534649999999998</v>
      </c>
      <c r="H27" s="12"/>
    </row>
    <row r="28" spans="1:9" x14ac:dyDescent="0.2">
      <c r="A28" s="46" t="s">
        <v>108</v>
      </c>
      <c r="B28" s="36"/>
      <c r="C28" s="37">
        <v>30</v>
      </c>
      <c r="D28" s="16">
        <f>8.16/1000</f>
        <v>8.1600000000000006E-3</v>
      </c>
      <c r="E28" s="16">
        <v>39</v>
      </c>
      <c r="F28" s="6">
        <f t="shared" si="2"/>
        <v>1.3</v>
      </c>
      <c r="G28" s="178">
        <f t="shared" si="3"/>
        <v>1.0608000000000001E-2</v>
      </c>
      <c r="H28" s="12"/>
    </row>
    <row r="29" spans="1:9" x14ac:dyDescent="0.2">
      <c r="A29" s="46"/>
      <c r="B29" s="36"/>
      <c r="C29" s="37">
        <v>40</v>
      </c>
      <c r="D29" s="16">
        <f>109.44/1000</f>
        <v>0.10944</v>
      </c>
      <c r="E29" s="16">
        <v>50.5</v>
      </c>
      <c r="F29" s="6">
        <f t="shared" si="2"/>
        <v>1.2625</v>
      </c>
      <c r="G29" s="178">
        <f t="shared" si="3"/>
        <v>0.13816799999999999</v>
      </c>
      <c r="H29" s="12"/>
    </row>
    <row r="30" spans="1:9" x14ac:dyDescent="0.2">
      <c r="A30" s="46"/>
      <c r="B30" s="36"/>
      <c r="C30" s="37">
        <v>50</v>
      </c>
      <c r="D30" s="16">
        <f>14.65/1000</f>
        <v>1.465E-2</v>
      </c>
      <c r="E30" s="16">
        <v>62.5</v>
      </c>
      <c r="F30" s="16">
        <f t="shared" si="2"/>
        <v>1.25</v>
      </c>
      <c r="G30" s="178">
        <f t="shared" si="3"/>
        <v>1.8312499999999999E-2</v>
      </c>
    </row>
    <row r="31" spans="1:9" x14ac:dyDescent="0.2">
      <c r="A31" s="56"/>
      <c r="B31" s="38"/>
      <c r="C31" s="39"/>
      <c r="D31" s="161">
        <f>SUM(D19:D30)</f>
        <v>1.9968699999999997</v>
      </c>
      <c r="E31" s="18"/>
      <c r="F31" s="18"/>
      <c r="G31" s="179"/>
    </row>
    <row r="32" spans="1:9" x14ac:dyDescent="0.2">
      <c r="A32" s="32" t="s">
        <v>102</v>
      </c>
      <c r="B32" s="33"/>
      <c r="C32" s="33"/>
      <c r="D32" s="157" t="s">
        <v>102</v>
      </c>
      <c r="G32" s="181"/>
      <c r="I32" s="3"/>
    </row>
    <row r="33" spans="1:9" x14ac:dyDescent="0.2">
      <c r="A33" s="55" t="s">
        <v>103</v>
      </c>
      <c r="B33" s="33"/>
      <c r="C33" s="34">
        <v>30</v>
      </c>
      <c r="D33" s="6">
        <f>633/1000</f>
        <v>0.63300000000000001</v>
      </c>
      <c r="E33" s="6">
        <v>39.6</v>
      </c>
      <c r="F33" s="6">
        <f>E33/C33</f>
        <v>1.32</v>
      </c>
      <c r="G33" s="178">
        <f>D33*F33</f>
        <v>0.83556000000000008</v>
      </c>
      <c r="I33" s="3"/>
    </row>
    <row r="34" spans="1:9" x14ac:dyDescent="0.2">
      <c r="A34" s="55" t="s">
        <v>135</v>
      </c>
      <c r="B34" s="33" t="s">
        <v>134</v>
      </c>
      <c r="C34" s="34">
        <v>30</v>
      </c>
      <c r="D34" s="6">
        <f>819.4/1000</f>
        <v>0.81940000000000002</v>
      </c>
      <c r="E34" s="6">
        <v>37.9</v>
      </c>
      <c r="F34" s="6">
        <f>E34/C34</f>
        <v>1.2633333333333332</v>
      </c>
      <c r="G34" s="178">
        <f>D34*F34</f>
        <v>1.0351753333333333</v>
      </c>
      <c r="I34" s="3"/>
    </row>
    <row r="35" spans="1:9" x14ac:dyDescent="0.2">
      <c r="A35" s="55"/>
      <c r="B35" s="33" t="s">
        <v>50</v>
      </c>
      <c r="C35" s="34">
        <v>30</v>
      </c>
      <c r="D35" s="6">
        <f>1330.8/1000</f>
        <v>1.3308</v>
      </c>
      <c r="E35" s="6">
        <v>37.9</v>
      </c>
      <c r="F35" s="6">
        <f>E35/C35</f>
        <v>1.2633333333333332</v>
      </c>
      <c r="G35" s="178">
        <f>D35*F35</f>
        <v>1.6812439999999997</v>
      </c>
      <c r="I35" s="3"/>
    </row>
    <row r="36" spans="1:9" x14ac:dyDescent="0.2">
      <c r="A36" s="55"/>
      <c r="B36" s="33" t="s">
        <v>121</v>
      </c>
      <c r="C36" s="34">
        <v>30</v>
      </c>
      <c r="D36" s="6">
        <f>690.9/1000</f>
        <v>0.69089999999999996</v>
      </c>
      <c r="E36" s="6">
        <v>37.9</v>
      </c>
      <c r="F36" s="16">
        <f>E36/C36</f>
        <v>1.2633333333333332</v>
      </c>
      <c r="G36" s="178">
        <f>D36*F36</f>
        <v>0.87283699999999986</v>
      </c>
      <c r="I36" s="3"/>
    </row>
    <row r="37" spans="1:9" x14ac:dyDescent="0.2">
      <c r="A37" s="55"/>
      <c r="B37" s="33"/>
      <c r="C37" s="34"/>
      <c r="D37" s="163">
        <f>SUM(D33:D36)</f>
        <v>3.4741</v>
      </c>
      <c r="E37" s="6"/>
      <c r="F37" s="16"/>
      <c r="G37" s="178"/>
      <c r="I37" s="150"/>
    </row>
    <row r="38" spans="1:9" x14ac:dyDescent="0.2">
      <c r="A38" s="122" t="s">
        <v>160</v>
      </c>
      <c r="B38" s="122"/>
      <c r="C38" s="125"/>
      <c r="D38" s="137">
        <f>SUM(D7:D8,D11:D16,D19:D30,D33:D36)</f>
        <v>13.784609999999999</v>
      </c>
      <c r="E38" s="123"/>
      <c r="F38" s="123">
        <f>AVERAGE(F10:F30)</f>
        <v>1.2925529100529103</v>
      </c>
      <c r="G38" s="177">
        <f>SUM(G10:G30)</f>
        <v>13.792244200000001</v>
      </c>
    </row>
    <row r="39" spans="1:9" x14ac:dyDescent="0.2">
      <c r="C39" s="3"/>
      <c r="D39" s="3"/>
      <c r="E39" s="6"/>
      <c r="F39" s="3"/>
      <c r="G39" s="3"/>
    </row>
    <row r="40" spans="1:9" x14ac:dyDescent="0.2">
      <c r="C40" s="3"/>
      <c r="D40" s="3"/>
      <c r="E40" s="6"/>
      <c r="F40" s="3"/>
      <c r="G40" s="3"/>
    </row>
    <row r="41" spans="1:9" x14ac:dyDescent="0.2">
      <c r="C41" s="3"/>
      <c r="D41" s="3"/>
      <c r="E41" s="6"/>
      <c r="F41" s="3"/>
      <c r="G41" s="3"/>
    </row>
    <row r="42" spans="1:9" x14ac:dyDescent="0.2">
      <c r="B42" s="153"/>
      <c r="C42" s="3"/>
      <c r="D42" s="3"/>
      <c r="E42" s="6"/>
      <c r="F42" s="3"/>
      <c r="G42" s="3"/>
    </row>
    <row r="43" spans="1:9" x14ac:dyDescent="0.2">
      <c r="B43" s="7"/>
      <c r="E43" s="7"/>
    </row>
    <row r="44" spans="1:9" x14ac:dyDescent="0.2">
      <c r="E44" s="7"/>
    </row>
    <row r="45" spans="1:9" x14ac:dyDescent="0.2">
      <c r="E45" s="7"/>
    </row>
  </sheetData>
  <pageMargins left="0.70866141732283472" right="0.70866141732283472" top="0.74803149606299213" bottom="0.74803149606299213" header="0.31496062992125984" footer="0.31496062992125984"/>
  <pageSetup paperSize="8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zoomScaleNormal="100" workbookViewId="0">
      <selection activeCell="G7" sqref="G7"/>
    </sheetView>
  </sheetViews>
  <sheetFormatPr defaultRowHeight="12.75" x14ac:dyDescent="0.2"/>
  <cols>
    <col min="1" max="1" width="21.5703125" customWidth="1"/>
    <col min="2" max="2" width="18.140625" customWidth="1"/>
    <col min="3" max="3" width="17.140625" customWidth="1"/>
    <col min="4" max="4" width="22" customWidth="1"/>
    <col min="5" max="5" width="16.140625" customWidth="1"/>
    <col min="6" max="6" width="14.85546875" customWidth="1"/>
    <col min="7" max="7" width="16.7109375" customWidth="1"/>
  </cols>
  <sheetData>
    <row r="1" spans="1:7" ht="18" x14ac:dyDescent="0.25">
      <c r="A1" s="185" t="s">
        <v>254</v>
      </c>
    </row>
    <row r="3" spans="1:7" x14ac:dyDescent="0.2">
      <c r="A3" s="44" t="s">
        <v>0</v>
      </c>
      <c r="B3" s="44" t="s">
        <v>86</v>
      </c>
      <c r="C3" s="44" t="s">
        <v>2</v>
      </c>
      <c r="D3" s="44" t="s">
        <v>208</v>
      </c>
      <c r="E3" s="44" t="s">
        <v>185</v>
      </c>
      <c r="F3" s="144" t="s">
        <v>189</v>
      </c>
      <c r="G3" s="144" t="s">
        <v>209</v>
      </c>
    </row>
    <row r="4" spans="1:7" x14ac:dyDescent="0.2">
      <c r="A4" s="44"/>
      <c r="B4" s="44"/>
      <c r="C4" s="74" t="s">
        <v>188</v>
      </c>
      <c r="D4" s="74" t="s">
        <v>183</v>
      </c>
      <c r="E4" s="74" t="s">
        <v>276</v>
      </c>
      <c r="F4" s="74" t="s">
        <v>276</v>
      </c>
      <c r="G4" s="74" t="s">
        <v>276</v>
      </c>
    </row>
    <row r="5" spans="1:7" x14ac:dyDescent="0.2">
      <c r="A5" s="44"/>
      <c r="B5" s="44"/>
      <c r="C5" s="74"/>
      <c r="D5" s="74"/>
      <c r="E5" s="74"/>
      <c r="F5" s="74" t="s">
        <v>201</v>
      </c>
      <c r="G5" s="74" t="s">
        <v>199</v>
      </c>
    </row>
    <row r="6" spans="1:7" x14ac:dyDescent="0.2">
      <c r="A6" s="34"/>
      <c r="B6" s="34"/>
      <c r="C6" s="34"/>
      <c r="D6" s="48" t="s">
        <v>136</v>
      </c>
      <c r="E6" s="28"/>
      <c r="F6" s="28"/>
      <c r="G6" s="28"/>
    </row>
    <row r="7" spans="1:7" x14ac:dyDescent="0.2">
      <c r="A7" s="32" t="s">
        <v>136</v>
      </c>
      <c r="B7" s="33" t="s">
        <v>137</v>
      </c>
      <c r="C7" s="34">
        <v>50</v>
      </c>
      <c r="D7" s="6">
        <v>35</v>
      </c>
      <c r="E7" s="6">
        <v>93</v>
      </c>
      <c r="F7" s="6">
        <f>E7/C7</f>
        <v>1.86</v>
      </c>
      <c r="G7" s="178">
        <f>(D7*F7)*1000</f>
        <v>65100.000000000007</v>
      </c>
    </row>
    <row r="8" spans="1:7" x14ac:dyDescent="0.2">
      <c r="A8" s="36"/>
      <c r="B8" s="36" t="s">
        <v>138</v>
      </c>
      <c r="C8" s="37">
        <v>50</v>
      </c>
      <c r="D8" s="16">
        <v>26.8</v>
      </c>
      <c r="E8" s="16">
        <v>93</v>
      </c>
      <c r="F8" s="16">
        <f>E8/C8</f>
        <v>1.86</v>
      </c>
      <c r="G8" s="178">
        <f t="shared" ref="G8:G16" si="0">(D8*F8)*1000</f>
        <v>49848.000000000007</v>
      </c>
    </row>
    <row r="9" spans="1:7" x14ac:dyDescent="0.2">
      <c r="A9" s="38"/>
      <c r="B9" s="38"/>
      <c r="C9" s="39"/>
      <c r="D9" s="161">
        <f>SUM(D7:D8)</f>
        <v>61.8</v>
      </c>
      <c r="E9" s="18"/>
      <c r="F9" s="18"/>
      <c r="G9" s="179"/>
    </row>
    <row r="10" spans="1:7" x14ac:dyDescent="0.2">
      <c r="A10" s="32" t="s">
        <v>102</v>
      </c>
      <c r="B10" s="33"/>
      <c r="C10" s="34"/>
      <c r="D10" s="157" t="s">
        <v>102</v>
      </c>
      <c r="E10" s="6"/>
      <c r="F10" s="6"/>
      <c r="G10" s="178"/>
    </row>
    <row r="11" spans="1:7" x14ac:dyDescent="0.2">
      <c r="A11" s="55" t="s">
        <v>139</v>
      </c>
      <c r="B11" s="33" t="s">
        <v>140</v>
      </c>
      <c r="C11" s="34">
        <v>50</v>
      </c>
      <c r="D11" s="6">
        <v>82.6</v>
      </c>
      <c r="E11" s="6">
        <v>89.5</v>
      </c>
      <c r="F11" s="6">
        <f t="shared" ref="F11:F16" si="1">E11/C11</f>
        <v>1.79</v>
      </c>
      <c r="G11" s="178">
        <f t="shared" si="0"/>
        <v>147853.99999999997</v>
      </c>
    </row>
    <row r="12" spans="1:7" x14ac:dyDescent="0.2">
      <c r="A12" s="33"/>
      <c r="B12" s="33" t="s">
        <v>141</v>
      </c>
      <c r="C12" s="34">
        <v>50</v>
      </c>
      <c r="D12" s="6">
        <v>146.5</v>
      </c>
      <c r="E12" s="6">
        <v>89.5</v>
      </c>
      <c r="F12" s="6">
        <f t="shared" si="1"/>
        <v>1.79</v>
      </c>
      <c r="G12" s="178">
        <f t="shared" si="0"/>
        <v>262235</v>
      </c>
    </row>
    <row r="13" spans="1:7" x14ac:dyDescent="0.2">
      <c r="A13" s="33"/>
      <c r="B13" s="33" t="s">
        <v>69</v>
      </c>
      <c r="C13" s="34">
        <v>50</v>
      </c>
      <c r="D13" s="6">
        <v>95.3</v>
      </c>
      <c r="E13" s="6">
        <v>89.5</v>
      </c>
      <c r="F13" s="6">
        <f t="shared" si="1"/>
        <v>1.79</v>
      </c>
      <c r="G13" s="178">
        <f t="shared" si="0"/>
        <v>170587</v>
      </c>
    </row>
    <row r="14" spans="1:7" x14ac:dyDescent="0.2">
      <c r="A14" s="33"/>
      <c r="B14" s="33" t="s">
        <v>142</v>
      </c>
      <c r="C14" s="34">
        <v>50</v>
      </c>
      <c r="D14" s="6">
        <v>100.75</v>
      </c>
      <c r="E14" s="6">
        <v>89.5</v>
      </c>
      <c r="F14" s="6">
        <f t="shared" si="1"/>
        <v>1.79</v>
      </c>
      <c r="G14" s="178">
        <f t="shared" si="0"/>
        <v>180342.5</v>
      </c>
    </row>
    <row r="15" spans="1:7" x14ac:dyDescent="0.2">
      <c r="A15" s="55" t="s">
        <v>143</v>
      </c>
      <c r="B15" s="33" t="s">
        <v>144</v>
      </c>
      <c r="C15" s="34">
        <v>50</v>
      </c>
      <c r="D15" s="6">
        <v>419.6</v>
      </c>
      <c r="E15" s="6">
        <v>90.5</v>
      </c>
      <c r="F15" s="6">
        <f t="shared" si="1"/>
        <v>1.81</v>
      </c>
      <c r="G15" s="178">
        <f t="shared" si="0"/>
        <v>759476.00000000012</v>
      </c>
    </row>
    <row r="16" spans="1:7" x14ac:dyDescent="0.2">
      <c r="A16" s="33"/>
      <c r="B16" s="33" t="s">
        <v>145</v>
      </c>
      <c r="C16" s="34">
        <v>50</v>
      </c>
      <c r="D16" s="6">
        <v>612.1</v>
      </c>
      <c r="E16" s="6">
        <v>90.5</v>
      </c>
      <c r="F16" s="6">
        <f t="shared" si="1"/>
        <v>1.81</v>
      </c>
      <c r="G16" s="178">
        <f t="shared" si="0"/>
        <v>1107901</v>
      </c>
    </row>
    <row r="17" spans="1:7" x14ac:dyDescent="0.2">
      <c r="A17" s="33"/>
      <c r="B17" s="33"/>
      <c r="C17" s="34"/>
      <c r="D17" s="163">
        <f>SUM(D11:D16)</f>
        <v>1456.85</v>
      </c>
      <c r="E17" s="6"/>
      <c r="F17" s="6"/>
      <c r="G17" s="178"/>
    </row>
    <row r="18" spans="1:7" x14ac:dyDescent="0.2">
      <c r="A18" s="122" t="s">
        <v>161</v>
      </c>
      <c r="B18" s="122"/>
      <c r="C18" s="125"/>
      <c r="D18" s="123">
        <f>SUM(D7:D8,D11:D16)</f>
        <v>1518.65</v>
      </c>
      <c r="E18" s="123"/>
      <c r="F18" s="123">
        <f>AVERAGE(F7:F16)</f>
        <v>1.8125</v>
      </c>
      <c r="G18" s="177">
        <f>SUM(G7:G16)</f>
        <v>2743343.5</v>
      </c>
    </row>
    <row r="19" spans="1:7" x14ac:dyDescent="0.2">
      <c r="C19" s="3"/>
      <c r="E19" s="6"/>
      <c r="G19" s="3"/>
    </row>
    <row r="20" spans="1:7" x14ac:dyDescent="0.2">
      <c r="E20" s="6"/>
      <c r="F20" s="6"/>
      <c r="G20" s="3"/>
    </row>
    <row r="21" spans="1:7" x14ac:dyDescent="0.2">
      <c r="E21" s="6"/>
      <c r="F21" s="6"/>
      <c r="G21" s="3"/>
    </row>
    <row r="22" spans="1:7" x14ac:dyDescent="0.2">
      <c r="E22" s="6"/>
      <c r="F22" s="6"/>
      <c r="G22" s="6"/>
    </row>
    <row r="23" spans="1:7" x14ac:dyDescent="0.2">
      <c r="E23" s="6"/>
      <c r="F23" s="6"/>
      <c r="G23" s="3"/>
    </row>
    <row r="24" spans="1:7" x14ac:dyDescent="0.2">
      <c r="E24" s="6"/>
      <c r="F24" s="6"/>
      <c r="G24" s="3"/>
    </row>
    <row r="25" spans="1:7" x14ac:dyDescent="0.2">
      <c r="C25" s="3"/>
      <c r="D25" s="6"/>
      <c r="E25" s="6"/>
      <c r="F25" s="6"/>
      <c r="G25" s="3"/>
    </row>
    <row r="26" spans="1:7" x14ac:dyDescent="0.2">
      <c r="C26" s="3"/>
      <c r="D26" s="3"/>
      <c r="E26" s="6"/>
      <c r="F26" s="6"/>
      <c r="G26" s="3"/>
    </row>
    <row r="27" spans="1:7" x14ac:dyDescent="0.2">
      <c r="C27" s="3"/>
      <c r="D27" s="3"/>
      <c r="E27" s="6"/>
      <c r="F27" s="6"/>
      <c r="G27" s="3"/>
    </row>
    <row r="28" spans="1:7" x14ac:dyDescent="0.2">
      <c r="C28" s="3"/>
      <c r="D28" s="3"/>
      <c r="E28" s="6"/>
      <c r="F28" s="6"/>
      <c r="G28" s="3"/>
    </row>
    <row r="29" spans="1:7" x14ac:dyDescent="0.2">
      <c r="C29" s="3"/>
      <c r="D29" s="3"/>
      <c r="E29" s="6"/>
      <c r="F29" s="6"/>
      <c r="G29" s="3"/>
    </row>
    <row r="30" spans="1:7" x14ac:dyDescent="0.2">
      <c r="C30" s="3"/>
      <c r="D30" s="3"/>
      <c r="E30" s="3"/>
      <c r="F30" s="3"/>
      <c r="G30" s="3"/>
    </row>
    <row r="31" spans="1:7" x14ac:dyDescent="0.2">
      <c r="C31" s="3"/>
      <c r="D31" s="3"/>
      <c r="E31" s="3"/>
      <c r="F31" s="3"/>
      <c r="G31" s="3"/>
    </row>
    <row r="32" spans="1:7" x14ac:dyDescent="0.2">
      <c r="C32" s="3"/>
      <c r="D32" s="3"/>
      <c r="E32" s="3"/>
      <c r="F32" s="3"/>
      <c r="G32" s="3"/>
    </row>
    <row r="33" spans="3:7" x14ac:dyDescent="0.2">
      <c r="C33" s="3"/>
      <c r="D33" s="3"/>
      <c r="E33" s="3"/>
      <c r="F33" s="3"/>
      <c r="G33" s="3"/>
    </row>
    <row r="34" spans="3:7" x14ac:dyDescent="0.2">
      <c r="C34" s="3"/>
      <c r="D34" s="3"/>
      <c r="E34" s="3"/>
      <c r="F34" s="3"/>
      <c r="G34" s="3"/>
    </row>
    <row r="35" spans="3:7" x14ac:dyDescent="0.2">
      <c r="C35" s="3"/>
      <c r="D35" s="3"/>
      <c r="E35" s="3"/>
      <c r="F35" s="3"/>
      <c r="G35" s="3"/>
    </row>
    <row r="36" spans="3:7" x14ac:dyDescent="0.2">
      <c r="C36" s="3"/>
      <c r="D36" s="3"/>
      <c r="E36" s="3"/>
      <c r="F36" s="3"/>
      <c r="G36" s="3"/>
    </row>
    <row r="37" spans="3:7" x14ac:dyDescent="0.2">
      <c r="C37" s="3"/>
      <c r="D37" s="3"/>
      <c r="E37" s="3"/>
      <c r="F37" s="3"/>
      <c r="G37" s="3"/>
    </row>
    <row r="38" spans="3:7" x14ac:dyDescent="0.2">
      <c r="C38" s="3"/>
      <c r="D38" s="3"/>
      <c r="E38" s="3"/>
      <c r="F38" s="3"/>
      <c r="G38" s="3"/>
    </row>
    <row r="39" spans="3:7" x14ac:dyDescent="0.2">
      <c r="C39" s="3"/>
      <c r="D39" s="3"/>
      <c r="E39" s="3"/>
      <c r="F39" s="3"/>
      <c r="G39" s="3"/>
    </row>
    <row r="40" spans="3:7" x14ac:dyDescent="0.2">
      <c r="C40" s="3"/>
      <c r="D40" s="3"/>
      <c r="E40" s="3"/>
      <c r="F40" s="3"/>
      <c r="G40" s="3"/>
    </row>
    <row r="41" spans="3:7" x14ac:dyDescent="0.2">
      <c r="C41" s="3"/>
      <c r="D41" s="3"/>
      <c r="E41" s="3"/>
      <c r="F41" s="3"/>
      <c r="G41" s="3"/>
    </row>
  </sheetData>
  <pageMargins left="0.70866141732283472" right="0.70866141732283472" top="0.74803149606299213" bottom="0.74803149606299213" header="0.31496062992125984" footer="0.31496062992125984"/>
  <pageSetup paperSize="8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Normal="100" workbookViewId="0">
      <selection activeCell="D27" sqref="D27"/>
    </sheetView>
  </sheetViews>
  <sheetFormatPr defaultRowHeight="12.75" x14ac:dyDescent="0.2"/>
  <cols>
    <col min="1" max="1" width="29" customWidth="1"/>
    <col min="2" max="2" width="24.5703125" customWidth="1"/>
    <col min="3" max="3" width="10.5703125" customWidth="1"/>
    <col min="4" max="4" width="10.85546875" customWidth="1"/>
    <col min="5" max="5" width="22.7109375" customWidth="1"/>
    <col min="6" max="6" width="22" customWidth="1"/>
    <col min="7" max="7" width="22.28515625" customWidth="1"/>
    <col min="8" max="8" width="16.5703125" customWidth="1"/>
    <col min="9" max="9" width="16.28515625" customWidth="1"/>
    <col min="10" max="10" width="18.85546875" customWidth="1"/>
    <col min="11" max="11" width="13.28515625" customWidth="1"/>
  </cols>
  <sheetData>
    <row r="1" spans="1:11" ht="18" x14ac:dyDescent="0.25">
      <c r="A1" s="185" t="s">
        <v>256</v>
      </c>
    </row>
    <row r="3" spans="1:11" x14ac:dyDescent="0.2">
      <c r="A3" s="44" t="s">
        <v>0</v>
      </c>
      <c r="B3" s="44" t="s">
        <v>86</v>
      </c>
      <c r="C3" s="44" t="s">
        <v>2</v>
      </c>
      <c r="D3" s="44" t="s">
        <v>216</v>
      </c>
      <c r="E3" s="43" t="s">
        <v>184</v>
      </c>
      <c r="F3" s="43" t="s">
        <v>190</v>
      </c>
      <c r="G3" s="44" t="s">
        <v>277</v>
      </c>
      <c r="H3" s="28"/>
      <c r="I3" s="28"/>
    </row>
    <row r="4" spans="1:11" x14ac:dyDescent="0.2">
      <c r="A4" s="44"/>
      <c r="B4" s="44"/>
      <c r="C4" s="74" t="s">
        <v>188</v>
      </c>
      <c r="D4" s="74" t="s">
        <v>183</v>
      </c>
      <c r="E4" s="97" t="s">
        <v>280</v>
      </c>
      <c r="F4" s="97" t="s">
        <v>188</v>
      </c>
      <c r="G4" s="74" t="s">
        <v>276</v>
      </c>
      <c r="H4" s="28"/>
      <c r="I4" s="28"/>
    </row>
    <row r="5" spans="1:11" x14ac:dyDescent="0.2">
      <c r="A5" s="44"/>
      <c r="B5" s="44"/>
      <c r="C5" s="74"/>
      <c r="D5" s="74"/>
      <c r="E5" s="97"/>
      <c r="F5" s="43" t="s">
        <v>279</v>
      </c>
      <c r="G5" s="43"/>
      <c r="H5" s="28"/>
      <c r="I5" s="28"/>
    </row>
    <row r="6" spans="1:11" x14ac:dyDescent="0.2">
      <c r="A6" s="49" t="s">
        <v>133</v>
      </c>
      <c r="B6" s="34" t="s">
        <v>147</v>
      </c>
      <c r="C6" s="28"/>
      <c r="D6" s="50">
        <f>3.1635</f>
        <v>3.1635</v>
      </c>
      <c r="E6" s="29">
        <v>703</v>
      </c>
      <c r="F6" s="50">
        <f>(D6/E6)*1000</f>
        <v>4.5</v>
      </c>
      <c r="G6" s="6">
        <v>6994.85</v>
      </c>
      <c r="H6" s="183"/>
      <c r="I6" s="28"/>
    </row>
    <row r="7" spans="1:11" x14ac:dyDescent="0.2">
      <c r="A7" s="165"/>
      <c r="B7" s="37" t="s">
        <v>148</v>
      </c>
      <c r="C7" s="52"/>
      <c r="D7" s="73">
        <f>0.79</f>
        <v>0.79</v>
      </c>
      <c r="E7" s="166">
        <v>158</v>
      </c>
      <c r="F7" s="50">
        <f t="shared" ref="F7:F20" si="0">(D7/E7)*1000</f>
        <v>5</v>
      </c>
      <c r="G7" s="6">
        <v>1572.1</v>
      </c>
      <c r="I7" s="7"/>
      <c r="J7" s="3"/>
      <c r="K7" s="81"/>
    </row>
    <row r="8" spans="1:11" x14ac:dyDescent="0.2">
      <c r="A8" s="58"/>
      <c r="B8" s="39"/>
      <c r="C8" s="59"/>
      <c r="D8" s="164">
        <f>SUM(D6:D7)</f>
        <v>3.9535</v>
      </c>
      <c r="E8" s="60"/>
      <c r="F8" s="61"/>
      <c r="G8" s="18"/>
      <c r="I8" s="7"/>
      <c r="J8" s="150"/>
      <c r="K8" s="81"/>
    </row>
    <row r="9" spans="1:11" x14ac:dyDescent="0.2">
      <c r="A9" s="35" t="s">
        <v>155</v>
      </c>
      <c r="B9" s="36"/>
      <c r="C9" s="14"/>
      <c r="D9" s="16">
        <f>600</f>
        <v>600</v>
      </c>
      <c r="E9" s="14">
        <v>85876</v>
      </c>
      <c r="F9" s="50">
        <f t="shared" si="0"/>
        <v>6.9868182029903583</v>
      </c>
      <c r="G9" s="6">
        <v>2045543.1</v>
      </c>
      <c r="J9" s="3"/>
      <c r="K9" s="81"/>
    </row>
    <row r="10" spans="1:11" x14ac:dyDescent="0.2">
      <c r="A10" s="62"/>
      <c r="B10" s="38"/>
      <c r="C10" s="17"/>
      <c r="D10" s="161">
        <f>SUM(D9)</f>
        <v>600</v>
      </c>
      <c r="E10" s="17"/>
      <c r="F10" s="61"/>
      <c r="G10" s="18"/>
      <c r="J10" s="150"/>
      <c r="K10" s="81"/>
    </row>
    <row r="11" spans="1:11" x14ac:dyDescent="0.2">
      <c r="A11" s="35" t="s">
        <v>136</v>
      </c>
      <c r="B11" s="36" t="s">
        <v>170</v>
      </c>
      <c r="C11" s="14"/>
      <c r="D11" s="16">
        <f>2.48</f>
        <v>2.48</v>
      </c>
      <c r="E11" s="14">
        <v>112</v>
      </c>
      <c r="F11" s="50">
        <f t="shared" si="0"/>
        <v>22.142857142857142</v>
      </c>
      <c r="G11" s="73">
        <v>4000</v>
      </c>
    </row>
    <row r="12" spans="1:11" x14ac:dyDescent="0.2">
      <c r="A12" s="62"/>
      <c r="B12" s="38"/>
      <c r="C12" s="17"/>
      <c r="D12" s="161">
        <f>SUM(D11)</f>
        <v>2.48</v>
      </c>
      <c r="E12" s="17"/>
      <c r="F12" s="61"/>
      <c r="G12" s="18"/>
    </row>
    <row r="13" spans="1:11" x14ac:dyDescent="0.2">
      <c r="A13" s="32" t="s">
        <v>150</v>
      </c>
      <c r="B13" s="33" t="s">
        <v>151</v>
      </c>
      <c r="C13" s="3">
        <v>25</v>
      </c>
      <c r="D13" s="6">
        <f>0</f>
        <v>0</v>
      </c>
      <c r="E13" s="3">
        <v>0</v>
      </c>
      <c r="F13" s="50"/>
      <c r="G13" s="6">
        <v>0</v>
      </c>
      <c r="H13" s="3"/>
      <c r="I13" s="6"/>
    </row>
    <row r="14" spans="1:11" x14ac:dyDescent="0.2">
      <c r="A14" s="32"/>
      <c r="B14" s="33" t="s">
        <v>152</v>
      </c>
      <c r="C14" s="3">
        <v>50</v>
      </c>
      <c r="D14" s="6">
        <v>44.962499999999999</v>
      </c>
      <c r="E14" s="3">
        <v>40875</v>
      </c>
      <c r="F14" s="50">
        <f t="shared" si="0"/>
        <v>1.1000000000000001</v>
      </c>
      <c r="G14" s="6">
        <v>81750</v>
      </c>
    </row>
    <row r="15" spans="1:11" x14ac:dyDescent="0.2">
      <c r="A15" s="32"/>
      <c r="B15" s="33" t="s">
        <v>153</v>
      </c>
      <c r="C15" s="3">
        <v>50</v>
      </c>
      <c r="D15" s="6">
        <v>100.925</v>
      </c>
      <c r="E15" s="3">
        <v>9175</v>
      </c>
      <c r="F15" s="50">
        <f t="shared" si="0"/>
        <v>11</v>
      </c>
      <c r="G15" s="6">
        <v>183500</v>
      </c>
    </row>
    <row r="16" spans="1:11" x14ac:dyDescent="0.2">
      <c r="A16" s="35"/>
      <c r="B16" s="36" t="s">
        <v>154</v>
      </c>
      <c r="C16" s="14">
        <v>50</v>
      </c>
      <c r="D16" s="16">
        <v>353.41950000000003</v>
      </c>
      <c r="E16" s="14">
        <v>504885</v>
      </c>
      <c r="F16" s="50">
        <f t="shared" si="0"/>
        <v>0.70000000000000007</v>
      </c>
      <c r="G16" s="6">
        <v>1009770</v>
      </c>
    </row>
    <row r="17" spans="1:8" x14ac:dyDescent="0.2">
      <c r="A17" s="62"/>
      <c r="B17" s="38"/>
      <c r="C17" s="17"/>
      <c r="D17" s="161">
        <f>SUM(D13:D16)</f>
        <v>499.30700000000002</v>
      </c>
      <c r="E17" s="17"/>
      <c r="F17" s="61"/>
      <c r="G17" s="18"/>
      <c r="H17" s="7"/>
    </row>
    <row r="18" spans="1:8" x14ac:dyDescent="0.2">
      <c r="A18" s="32" t="s">
        <v>149</v>
      </c>
      <c r="B18" s="33"/>
      <c r="C18" s="3"/>
      <c r="D18" s="6">
        <v>2407</v>
      </c>
      <c r="E18" s="3">
        <v>3173400</v>
      </c>
      <c r="F18" s="50">
        <f t="shared" si="0"/>
        <v>0.7584924686456167</v>
      </c>
      <c r="G18" s="6">
        <v>60604800</v>
      </c>
    </row>
    <row r="19" spans="1:8" x14ac:dyDescent="0.2">
      <c r="A19" s="62"/>
      <c r="B19" s="38"/>
      <c r="C19" s="17"/>
      <c r="D19" s="161">
        <f>SUM(D18)</f>
        <v>2407</v>
      </c>
      <c r="E19" s="17"/>
      <c r="F19" s="61"/>
      <c r="G19" s="18"/>
    </row>
    <row r="20" spans="1:8" x14ac:dyDescent="0.2">
      <c r="A20" s="35" t="s">
        <v>146</v>
      </c>
      <c r="B20" s="36"/>
      <c r="C20" s="14"/>
      <c r="D20" s="16">
        <v>4356.4120000000003</v>
      </c>
      <c r="E20" s="14">
        <v>3650369</v>
      </c>
      <c r="F20" s="50">
        <f t="shared" si="0"/>
        <v>1.1934168847039848</v>
      </c>
      <c r="G20" s="6">
        <v>10026912</v>
      </c>
    </row>
    <row r="21" spans="1:8" x14ac:dyDescent="0.2">
      <c r="A21" s="62"/>
      <c r="B21" s="38"/>
      <c r="C21" s="17"/>
      <c r="D21" s="161">
        <f>SUM(D20)</f>
        <v>4356.4120000000003</v>
      </c>
      <c r="E21" s="17"/>
      <c r="F21" s="61"/>
      <c r="G21" s="199"/>
    </row>
    <row r="22" spans="1:8" x14ac:dyDescent="0.2">
      <c r="A22" s="146" t="s">
        <v>161</v>
      </c>
      <c r="B22" s="146"/>
      <c r="C22" s="68"/>
      <c r="D22" s="147">
        <f>SUM(D8,D10,D12,D17,D19,D21)</f>
        <v>7869.1525000000001</v>
      </c>
      <c r="E22" s="68">
        <f>SUM(E6:E20)</f>
        <v>7465553</v>
      </c>
      <c r="F22" s="147">
        <f>AVERAGE(F6:F20)</f>
        <v>5.9312871887996783</v>
      </c>
      <c r="G22" s="147">
        <f>SUM(G6,G7,G9,G11,G13,G14,G15,G16,G18,G20)</f>
        <v>73964842.049999997</v>
      </c>
    </row>
    <row r="23" spans="1:8" x14ac:dyDescent="0.2">
      <c r="C23" s="3"/>
      <c r="D23" s="6"/>
      <c r="E23" s="3"/>
      <c r="F23" s="3"/>
      <c r="G23" s="3"/>
    </row>
    <row r="24" spans="1:8" x14ac:dyDescent="0.2">
      <c r="A24" t="s">
        <v>290</v>
      </c>
      <c r="C24" s="3"/>
      <c r="D24" s="6"/>
      <c r="E24" s="3"/>
      <c r="F24" s="3"/>
      <c r="G24" s="3"/>
    </row>
    <row r="25" spans="1:8" x14ac:dyDescent="0.2">
      <c r="C25" s="3"/>
      <c r="D25" s="3"/>
      <c r="E25" s="3"/>
      <c r="F25" s="3"/>
      <c r="G25" s="3"/>
    </row>
    <row r="26" spans="1:8" x14ac:dyDescent="0.2">
      <c r="C26" s="3"/>
      <c r="D26" s="3"/>
      <c r="E26" s="3"/>
      <c r="F26" s="3"/>
      <c r="G26" s="3"/>
    </row>
    <row r="27" spans="1:8" x14ac:dyDescent="0.2">
      <c r="C27" s="7"/>
      <c r="D27" s="7"/>
      <c r="G27" s="3"/>
    </row>
    <row r="28" spans="1:8" x14ac:dyDescent="0.2">
      <c r="G28" s="3"/>
    </row>
    <row r="29" spans="1:8" x14ac:dyDescent="0.2">
      <c r="C29" s="3"/>
      <c r="D29" s="3"/>
      <c r="E29" s="3"/>
      <c r="F29" s="3"/>
      <c r="G29" s="3"/>
    </row>
    <row r="30" spans="1:8" x14ac:dyDescent="0.2">
      <c r="C30" s="3"/>
      <c r="D30" s="3"/>
      <c r="E30" s="3"/>
      <c r="F30" s="3"/>
      <c r="G30" s="3"/>
    </row>
    <row r="31" spans="1:8" x14ac:dyDescent="0.2">
      <c r="C31" s="3"/>
      <c r="D31" s="3"/>
      <c r="E31" s="3"/>
      <c r="F31" s="3"/>
      <c r="G31" s="3"/>
    </row>
    <row r="32" spans="1:8" x14ac:dyDescent="0.2">
      <c r="C32" s="3"/>
      <c r="D32" s="3"/>
      <c r="E32" s="3"/>
      <c r="F32" s="3"/>
      <c r="G32" s="3"/>
    </row>
    <row r="33" spans="1:7" x14ac:dyDescent="0.2">
      <c r="A33" s="111"/>
      <c r="B33" s="90"/>
      <c r="C33" s="3"/>
      <c r="D33" s="3"/>
      <c r="E33" s="3"/>
      <c r="F33" s="3"/>
      <c r="G33" s="3"/>
    </row>
    <row r="34" spans="1:7" x14ac:dyDescent="0.2">
      <c r="A34" s="111"/>
      <c r="B34" s="90"/>
      <c r="C34" s="3"/>
      <c r="D34" s="3"/>
      <c r="E34" s="3"/>
      <c r="F34" s="3"/>
      <c r="G34" s="3"/>
    </row>
    <row r="35" spans="1:7" x14ac:dyDescent="0.2">
      <c r="A35" s="111"/>
      <c r="B35" s="90"/>
      <c r="C35" s="3"/>
      <c r="D35" s="3"/>
      <c r="E35" s="3"/>
      <c r="F35" s="3"/>
      <c r="G35" s="3"/>
    </row>
    <row r="36" spans="1:7" x14ac:dyDescent="0.2">
      <c r="A36" s="111"/>
      <c r="B36" s="90"/>
    </row>
    <row r="37" spans="1:7" x14ac:dyDescent="0.2">
      <c r="A37" s="112"/>
      <c r="B37" s="113"/>
    </row>
    <row r="38" spans="1:7" x14ac:dyDescent="0.2">
      <c r="A38" s="111"/>
      <c r="B38" s="90"/>
    </row>
  </sheetData>
  <pageMargins left="0.7" right="0.7" top="0.75" bottom="0.75" header="0.3" footer="0.3"/>
  <pageSetup paperSize="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D33" sqref="D33"/>
    </sheetView>
  </sheetViews>
  <sheetFormatPr defaultRowHeight="12.75" x14ac:dyDescent="0.2"/>
  <cols>
    <col min="1" max="1" width="13.28515625" customWidth="1"/>
    <col min="2" max="2" width="35" customWidth="1"/>
    <col min="3" max="3" width="33.5703125" customWidth="1"/>
    <col min="4" max="4" width="32.140625" customWidth="1"/>
    <col min="5" max="5" width="30.28515625" customWidth="1"/>
    <col min="6" max="6" width="28.28515625" customWidth="1"/>
    <col min="7" max="7" width="25.140625" customWidth="1"/>
    <col min="8" max="8" width="23.7109375" customWidth="1"/>
    <col min="9" max="9" width="30.28515625" customWidth="1"/>
    <col min="10" max="10" width="27.5703125" customWidth="1"/>
    <col min="11" max="11" width="20" customWidth="1"/>
    <col min="12" max="13" width="29.85546875" customWidth="1"/>
    <col min="14" max="14" width="19.28515625" customWidth="1"/>
  </cols>
  <sheetData>
    <row r="1" spans="1:10" ht="18" x14ac:dyDescent="0.25">
      <c r="A1" s="185" t="s">
        <v>257</v>
      </c>
      <c r="J1" s="8"/>
    </row>
    <row r="2" spans="1:10" x14ac:dyDescent="0.2">
      <c r="A2" s="2"/>
      <c r="J2" s="8"/>
    </row>
    <row r="3" spans="1:10" x14ac:dyDescent="0.2">
      <c r="A3" s="44" t="s">
        <v>167</v>
      </c>
      <c r="B3" s="44" t="s">
        <v>234</v>
      </c>
      <c r="C3" s="44" t="s">
        <v>271</v>
      </c>
      <c r="D3" s="44" t="s">
        <v>210</v>
      </c>
      <c r="E3" s="44" t="s">
        <v>211</v>
      </c>
      <c r="F3" s="44" t="s">
        <v>212</v>
      </c>
      <c r="G3" s="44" t="s">
        <v>213</v>
      </c>
    </row>
    <row r="4" spans="1:10" x14ac:dyDescent="0.2">
      <c r="A4" s="44"/>
      <c r="B4" s="74" t="s">
        <v>169</v>
      </c>
      <c r="C4" s="74" t="s">
        <v>181</v>
      </c>
      <c r="D4" s="74" t="s">
        <v>181</v>
      </c>
      <c r="E4" s="74" t="s">
        <v>181</v>
      </c>
      <c r="F4" s="74" t="s">
        <v>181</v>
      </c>
      <c r="G4" s="74" t="s">
        <v>181</v>
      </c>
      <c r="J4" s="8"/>
    </row>
    <row r="5" spans="1:10" x14ac:dyDescent="0.2">
      <c r="A5" s="44"/>
      <c r="B5" s="74"/>
      <c r="C5" s="74"/>
      <c r="D5" s="74"/>
      <c r="E5" s="74"/>
      <c r="F5" s="74"/>
      <c r="G5" s="94" t="s">
        <v>200</v>
      </c>
    </row>
    <row r="6" spans="1:10" x14ac:dyDescent="0.2">
      <c r="A6" s="34">
        <v>2010</v>
      </c>
      <c r="B6" s="3">
        <v>2220</v>
      </c>
      <c r="C6" s="10">
        <f>B6*0.7</f>
        <v>1554</v>
      </c>
      <c r="D6" s="3">
        <v>735</v>
      </c>
      <c r="E6" s="4">
        <v>3.9</v>
      </c>
      <c r="F6" s="3">
        <v>15</v>
      </c>
      <c r="G6" s="10">
        <f t="shared" ref="G6:G11" si="0">C6+D6+E6+F6</f>
        <v>2307.9</v>
      </c>
    </row>
    <row r="7" spans="1:10" x14ac:dyDescent="0.2">
      <c r="A7" s="34">
        <v>2011</v>
      </c>
      <c r="B7" s="3">
        <v>2083</v>
      </c>
      <c r="C7" s="10">
        <f t="shared" ref="C7:C12" si="1">B7*0.7</f>
        <v>1458.1</v>
      </c>
      <c r="D7" s="3">
        <v>641</v>
      </c>
      <c r="E7" s="4">
        <v>2.8</v>
      </c>
      <c r="F7" s="3">
        <v>19</v>
      </c>
      <c r="G7" s="10">
        <f t="shared" si="0"/>
        <v>2120.9</v>
      </c>
    </row>
    <row r="8" spans="1:10" x14ac:dyDescent="0.2">
      <c r="A8" s="34">
        <v>2012</v>
      </c>
      <c r="B8" s="3">
        <v>2017</v>
      </c>
      <c r="C8" s="10">
        <f t="shared" si="1"/>
        <v>1411.8999999999999</v>
      </c>
      <c r="D8" s="3">
        <v>632</v>
      </c>
      <c r="E8" s="4">
        <v>2.2999999999999998</v>
      </c>
      <c r="F8" s="3">
        <v>16</v>
      </c>
      <c r="G8" s="10">
        <f t="shared" si="0"/>
        <v>2062.1999999999998</v>
      </c>
    </row>
    <row r="9" spans="1:10" x14ac:dyDescent="0.2">
      <c r="A9" s="34">
        <v>2013</v>
      </c>
      <c r="B9" s="3">
        <v>1886</v>
      </c>
      <c r="C9" s="10">
        <f t="shared" si="1"/>
        <v>1320.1999999999998</v>
      </c>
      <c r="D9" s="3">
        <v>582</v>
      </c>
      <c r="E9" s="4">
        <v>2.6</v>
      </c>
      <c r="F9" s="11">
        <v>11</v>
      </c>
      <c r="G9" s="10">
        <f t="shared" si="0"/>
        <v>1915.7999999999997</v>
      </c>
    </row>
    <row r="10" spans="1:10" x14ac:dyDescent="0.2">
      <c r="A10" s="34">
        <v>2014</v>
      </c>
      <c r="B10" s="3">
        <v>1859</v>
      </c>
      <c r="C10" s="10">
        <f t="shared" si="1"/>
        <v>1301.3</v>
      </c>
      <c r="D10" s="3">
        <v>553</v>
      </c>
      <c r="E10" s="154">
        <v>2.2000000000000002</v>
      </c>
      <c r="F10" s="3">
        <v>11</v>
      </c>
      <c r="G10" s="10">
        <f t="shared" si="0"/>
        <v>1867.5</v>
      </c>
    </row>
    <row r="11" spans="1:10" x14ac:dyDescent="0.2">
      <c r="A11" s="39">
        <v>2015</v>
      </c>
      <c r="B11" s="17">
        <v>1810</v>
      </c>
      <c r="C11" s="10">
        <f t="shared" si="1"/>
        <v>1267</v>
      </c>
      <c r="D11" s="82">
        <v>519</v>
      </c>
      <c r="E11" s="155">
        <v>1.7</v>
      </c>
      <c r="F11" s="17">
        <v>8</v>
      </c>
      <c r="G11" s="182">
        <f t="shared" si="0"/>
        <v>1795.7</v>
      </c>
    </row>
    <row r="12" spans="1:10" x14ac:dyDescent="0.2">
      <c r="A12" s="64">
        <v>2016</v>
      </c>
      <c r="B12" s="92">
        <f>B27</f>
        <v>1791.7640000000001</v>
      </c>
      <c r="C12" s="92">
        <f t="shared" si="1"/>
        <v>1254.2348</v>
      </c>
      <c r="D12" s="93">
        <f>C27</f>
        <v>511.84561000000002</v>
      </c>
      <c r="E12" s="156">
        <f>'(4) Pipe Tobacco'!D18/1000</f>
        <v>1.5186500000000001</v>
      </c>
      <c r="F12" s="93">
        <f>'(5) Cigars &amp; Cigarillos'!D22/1000</f>
        <v>7.8691525000000002</v>
      </c>
      <c r="G12" s="92">
        <f>SUM(C12,D12,E12,F12)</f>
        <v>1775.4682124999999</v>
      </c>
    </row>
    <row r="13" spans="1:10" x14ac:dyDescent="0.2">
      <c r="A13" s="94" t="s">
        <v>171</v>
      </c>
      <c r="B13" s="95">
        <f t="shared" ref="B13:F13" si="2">((B12-B11)/B11)*100</f>
        <v>-1.0075138121546894</v>
      </c>
      <c r="C13" s="95">
        <f>((C12-C11)/C11)*100</f>
        <v>-1.0075138121547</v>
      </c>
      <c r="D13" s="95">
        <f>((D12-D11)/D11)*100</f>
        <v>-1.3784951830443117</v>
      </c>
      <c r="E13" s="95">
        <f t="shared" si="2"/>
        <v>-10.667647058823523</v>
      </c>
      <c r="F13" s="95">
        <f t="shared" si="2"/>
        <v>-1.6355937499999973</v>
      </c>
      <c r="G13" s="95">
        <f>((G12-G11)/G11)*100</f>
        <v>-1.1266797070780259</v>
      </c>
    </row>
    <row r="14" spans="1:10" x14ac:dyDescent="0.2">
      <c r="A14" s="95" t="s">
        <v>206</v>
      </c>
      <c r="B14" s="95">
        <f>((B11-B6)/B6)*100</f>
        <v>-18.468468468468469</v>
      </c>
      <c r="C14" s="95">
        <f t="shared" ref="C14:G14" si="3">((C11-C6)/C6)*100</f>
        <v>-18.468468468468469</v>
      </c>
      <c r="D14" s="95">
        <f t="shared" si="3"/>
        <v>-29.387755102040821</v>
      </c>
      <c r="E14" s="95">
        <f t="shared" si="3"/>
        <v>-56.410256410256423</v>
      </c>
      <c r="F14" s="95">
        <f t="shared" si="3"/>
        <v>-46.666666666666664</v>
      </c>
      <c r="G14" s="95">
        <f t="shared" si="3"/>
        <v>-22.193335933099355</v>
      </c>
    </row>
    <row r="15" spans="1:10" x14ac:dyDescent="0.2">
      <c r="F15" s="66"/>
      <c r="G15" s="66"/>
      <c r="H15" s="66"/>
    </row>
    <row r="16" spans="1:10" x14ac:dyDescent="0.2">
      <c r="A16" t="s">
        <v>272</v>
      </c>
      <c r="F16" s="66"/>
      <c r="G16" s="66"/>
      <c r="H16" s="66"/>
    </row>
    <row r="17" spans="1:9" x14ac:dyDescent="0.2">
      <c r="F17" s="66"/>
      <c r="G17" s="66"/>
      <c r="H17" s="66"/>
    </row>
    <row r="18" spans="1:9" ht="18" x14ac:dyDescent="0.25">
      <c r="A18" s="191" t="s">
        <v>270</v>
      </c>
      <c r="B18" s="145"/>
    </row>
    <row r="20" spans="1:9" x14ac:dyDescent="0.2">
      <c r="A20" s="44" t="s">
        <v>0</v>
      </c>
      <c r="B20" s="44" t="s">
        <v>191</v>
      </c>
      <c r="C20" s="44" t="s">
        <v>192</v>
      </c>
      <c r="D20" s="52"/>
      <c r="H20" s="52"/>
      <c r="I20" s="52"/>
    </row>
    <row r="21" spans="1:9" x14ac:dyDescent="0.2">
      <c r="A21" s="44"/>
      <c r="B21" s="74" t="s">
        <v>169</v>
      </c>
      <c r="C21" s="74" t="s">
        <v>181</v>
      </c>
      <c r="D21" s="65"/>
      <c r="H21" s="65"/>
      <c r="I21" s="65"/>
    </row>
    <row r="22" spans="1:9" x14ac:dyDescent="0.2">
      <c r="A22" s="44"/>
      <c r="B22" s="96"/>
      <c r="C22" s="96"/>
      <c r="D22" s="192"/>
      <c r="H22" s="193"/>
      <c r="I22" s="193"/>
    </row>
    <row r="23" spans="1:9" x14ac:dyDescent="0.2">
      <c r="A23" s="32" t="s">
        <v>162</v>
      </c>
      <c r="B23" s="169">
        <f>'(2) A.1 BAT (Cigs)'!D92</f>
        <v>1192.0620000000001</v>
      </c>
      <c r="C23" s="117">
        <f>'(3) B.1 BAT (RYO)'!D48</f>
        <v>339.43800000000005</v>
      </c>
      <c r="D23" s="194"/>
      <c r="H23" s="120"/>
      <c r="I23" s="120"/>
    </row>
    <row r="24" spans="1:9" ht="12.75" customHeight="1" x14ac:dyDescent="0.2">
      <c r="A24" s="32" t="s">
        <v>163</v>
      </c>
      <c r="B24" s="150">
        <f>'(2) A.2 Imperial (Cigs)'!D58</f>
        <v>342.22800000000001</v>
      </c>
      <c r="C24" s="117">
        <f>'(3) B.2 Imperial (RYO)'!D41</f>
        <v>151.56299999999999</v>
      </c>
      <c r="D24" s="194"/>
      <c r="H24" s="120"/>
      <c r="I24" s="120"/>
    </row>
    <row r="25" spans="1:9" x14ac:dyDescent="0.2">
      <c r="A25" s="32" t="s">
        <v>149</v>
      </c>
      <c r="B25" s="10">
        <f>'(2) A.3 Philip Morris (Cigs)'!D27</f>
        <v>231.08599999999998</v>
      </c>
      <c r="C25" s="117">
        <f>'(3) B.3 Philip Morris (RYO)'!D9</f>
        <v>7.06</v>
      </c>
      <c r="D25" s="194"/>
      <c r="H25" s="120"/>
      <c r="I25" s="120"/>
    </row>
    <row r="26" spans="1:9" x14ac:dyDescent="0.2">
      <c r="A26" s="32" t="s">
        <v>164</v>
      </c>
      <c r="B26" s="10">
        <f>'(2) A.4 Other Brands (Cigs)'!D41</f>
        <v>26.387999999999998</v>
      </c>
      <c r="C26" s="169">
        <f>'(3) B.4 Other Brands (RYO)'!D38</f>
        <v>13.784609999999999</v>
      </c>
      <c r="D26" s="194"/>
      <c r="H26" s="120"/>
      <c r="I26" s="120"/>
    </row>
    <row r="27" spans="1:9" x14ac:dyDescent="0.2">
      <c r="A27" s="53" t="s">
        <v>161</v>
      </c>
      <c r="B27" s="54">
        <f t="shared" ref="B27:C27" si="4">SUM(B23:B26)</f>
        <v>1791.7640000000001</v>
      </c>
      <c r="C27" s="54">
        <f t="shared" si="4"/>
        <v>511.84561000000002</v>
      </c>
      <c r="D27" s="52"/>
      <c r="H27" s="120"/>
      <c r="I27" s="120"/>
    </row>
    <row r="29" spans="1:9" x14ac:dyDescent="0.2">
      <c r="A29" s="111"/>
      <c r="B29" s="184"/>
    </row>
  </sheetData>
  <pageMargins left="0.25" right="0.25" top="0.75" bottom="0.75" header="0.3" footer="0.3"/>
  <pageSetup paperSize="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E29" sqref="E29"/>
    </sheetView>
  </sheetViews>
  <sheetFormatPr defaultRowHeight="12.75" x14ac:dyDescent="0.2"/>
  <cols>
    <col min="1" max="1" width="15.42578125" customWidth="1"/>
    <col min="2" max="2" width="20.28515625" customWidth="1"/>
    <col min="3" max="3" width="17.5703125" customWidth="1"/>
    <col min="4" max="4" width="18.42578125" customWidth="1"/>
    <col min="5" max="6" width="18.7109375" customWidth="1"/>
    <col min="7" max="7" width="23" customWidth="1"/>
    <col min="8" max="8" width="11.5703125" customWidth="1"/>
  </cols>
  <sheetData>
    <row r="1" spans="1:8" ht="18" x14ac:dyDescent="0.25">
      <c r="A1" s="185" t="s">
        <v>258</v>
      </c>
    </row>
    <row r="3" spans="1:8" ht="38.25" x14ac:dyDescent="0.2">
      <c r="A3" s="98" t="s">
        <v>165</v>
      </c>
      <c r="B3" s="98" t="s">
        <v>228</v>
      </c>
      <c r="C3" s="98" t="s">
        <v>229</v>
      </c>
      <c r="D3" s="98" t="s">
        <v>230</v>
      </c>
      <c r="E3" s="100" t="s">
        <v>231</v>
      </c>
      <c r="F3" s="99" t="s">
        <v>194</v>
      </c>
      <c r="G3" s="98" t="s">
        <v>233</v>
      </c>
      <c r="H3" s="52"/>
    </row>
    <row r="4" spans="1:8" x14ac:dyDescent="0.2">
      <c r="A4" s="44" t="s">
        <v>193</v>
      </c>
      <c r="B4" s="74" t="s">
        <v>169</v>
      </c>
      <c r="C4" s="74" t="s">
        <v>181</v>
      </c>
      <c r="D4" s="74" t="s">
        <v>197</v>
      </c>
      <c r="E4" s="89" t="s">
        <v>169</v>
      </c>
      <c r="F4" s="75" t="s">
        <v>169</v>
      </c>
      <c r="G4" s="74" t="s">
        <v>232</v>
      </c>
      <c r="H4" s="65"/>
    </row>
    <row r="5" spans="1:8" x14ac:dyDescent="0.2">
      <c r="A5" s="44"/>
      <c r="B5" s="96"/>
      <c r="C5" s="96"/>
      <c r="D5" s="101" t="s">
        <v>196</v>
      </c>
      <c r="E5" s="101" t="s">
        <v>195</v>
      </c>
      <c r="F5" s="102"/>
      <c r="G5" s="101" t="s">
        <v>205</v>
      </c>
      <c r="H5" s="65"/>
    </row>
    <row r="6" spans="1:8" x14ac:dyDescent="0.2">
      <c r="A6" s="34">
        <v>2004</v>
      </c>
      <c r="B6" s="150">
        <v>2331</v>
      </c>
      <c r="C6" s="150">
        <v>837</v>
      </c>
      <c r="D6" s="150">
        <v>1196</v>
      </c>
      <c r="E6" s="150">
        <f>B6+D6</f>
        <v>3527</v>
      </c>
      <c r="F6" s="104">
        <v>3.1962000000000002</v>
      </c>
      <c r="G6" s="10">
        <f>E6/F6</f>
        <v>1103.4979037607159</v>
      </c>
      <c r="H6" s="65"/>
    </row>
    <row r="7" spans="1:8" x14ac:dyDescent="0.2">
      <c r="A7" s="34">
        <v>2005</v>
      </c>
      <c r="B7" s="150">
        <v>2335</v>
      </c>
      <c r="C7" s="150">
        <v>834</v>
      </c>
      <c r="D7" s="150">
        <v>1191</v>
      </c>
      <c r="E7" s="150">
        <f t="shared" ref="E7:E10" si="0">B7+D7</f>
        <v>3526</v>
      </c>
      <c r="F7" s="104">
        <v>3.2458999999999998</v>
      </c>
      <c r="G7" s="10">
        <f t="shared" ref="G7:G10" si="1">E7/F7</f>
        <v>1086.293477925999</v>
      </c>
      <c r="H7" s="65"/>
    </row>
    <row r="8" spans="1:8" x14ac:dyDescent="0.2">
      <c r="A8" s="34">
        <v>2006</v>
      </c>
      <c r="B8" s="150">
        <v>2350</v>
      </c>
      <c r="C8" s="150">
        <v>836</v>
      </c>
      <c r="D8" s="150">
        <v>1194</v>
      </c>
      <c r="E8" s="150">
        <f t="shared" si="0"/>
        <v>3544</v>
      </c>
      <c r="F8" s="104">
        <v>3.2967</v>
      </c>
      <c r="G8" s="10">
        <f t="shared" si="1"/>
        <v>1075.0144083477417</v>
      </c>
      <c r="H8" s="65"/>
    </row>
    <row r="9" spans="1:8" x14ac:dyDescent="0.2">
      <c r="A9" s="34">
        <v>2007</v>
      </c>
      <c r="B9" s="150">
        <v>2344</v>
      </c>
      <c r="C9" s="150">
        <v>794</v>
      </c>
      <c r="D9" s="150">
        <v>1134</v>
      </c>
      <c r="E9" s="150">
        <f t="shared" si="0"/>
        <v>3478</v>
      </c>
      <c r="F9" s="104">
        <v>3.335</v>
      </c>
      <c r="G9" s="10">
        <f t="shared" si="1"/>
        <v>1042.8785607196403</v>
      </c>
      <c r="H9" s="65"/>
    </row>
    <row r="10" spans="1:8" x14ac:dyDescent="0.2">
      <c r="A10" s="34">
        <v>2008</v>
      </c>
      <c r="B10" s="150">
        <v>2324</v>
      </c>
      <c r="C10" s="150">
        <v>870</v>
      </c>
      <c r="D10" s="150">
        <v>1243</v>
      </c>
      <c r="E10" s="150">
        <f t="shared" si="0"/>
        <v>3567</v>
      </c>
      <c r="F10" s="104">
        <v>3.3664000000000001</v>
      </c>
      <c r="G10" s="10">
        <f t="shared" si="1"/>
        <v>1059.5888783269961</v>
      </c>
      <c r="H10" s="65"/>
    </row>
    <row r="11" spans="1:8" x14ac:dyDescent="0.2">
      <c r="A11" s="34">
        <v>2009</v>
      </c>
      <c r="B11" s="3">
        <v>2305</v>
      </c>
      <c r="C11" s="3">
        <v>825</v>
      </c>
      <c r="D11" s="10">
        <f t="shared" ref="D11:D18" si="2">C11/0.7</f>
        <v>1178.5714285714287</v>
      </c>
      <c r="E11" s="27">
        <f t="shared" ref="E11:E18" si="3">B11+D11</f>
        <v>3483.5714285714284</v>
      </c>
      <c r="F11" s="103">
        <v>3.4037000000000002</v>
      </c>
      <c r="G11" s="10">
        <f>E11/F11</f>
        <v>1023.4660600439017</v>
      </c>
      <c r="H11" s="90"/>
    </row>
    <row r="12" spans="1:8" x14ac:dyDescent="0.2">
      <c r="A12" s="34">
        <v>2010</v>
      </c>
      <c r="B12" s="3">
        <v>2220</v>
      </c>
      <c r="C12" s="3">
        <v>771</v>
      </c>
      <c r="D12" s="10">
        <f t="shared" si="2"/>
        <v>1101.4285714285716</v>
      </c>
      <c r="E12" s="27">
        <f t="shared" si="3"/>
        <v>3321.4285714285716</v>
      </c>
      <c r="F12" s="103">
        <v>3.4449999999999998</v>
      </c>
      <c r="G12" s="10">
        <f t="shared" ref="G12:G17" si="4">E12/F12</f>
        <v>964.13020941322839</v>
      </c>
      <c r="H12" s="52"/>
    </row>
    <row r="13" spans="1:8" x14ac:dyDescent="0.2">
      <c r="A13" s="34">
        <v>2011</v>
      </c>
      <c r="B13" s="3">
        <v>2083</v>
      </c>
      <c r="C13" s="3">
        <v>631</v>
      </c>
      <c r="D13" s="10">
        <f t="shared" si="2"/>
        <v>901.42857142857144</v>
      </c>
      <c r="E13" s="27">
        <f t="shared" si="3"/>
        <v>2984.4285714285716</v>
      </c>
      <c r="F13" s="103">
        <v>3.4758</v>
      </c>
      <c r="G13" s="10">
        <f t="shared" si="4"/>
        <v>858.63069550278249</v>
      </c>
      <c r="H13" s="90"/>
    </row>
    <row r="14" spans="1:8" x14ac:dyDescent="0.2">
      <c r="A14" s="34">
        <v>2012</v>
      </c>
      <c r="B14" s="3">
        <v>2017</v>
      </c>
      <c r="C14" s="3">
        <v>593</v>
      </c>
      <c r="D14" s="10">
        <f t="shared" si="2"/>
        <v>847.14285714285722</v>
      </c>
      <c r="E14" s="27">
        <f t="shared" si="3"/>
        <v>2864.1428571428573</v>
      </c>
      <c r="F14" s="104">
        <v>3.5007999999999999</v>
      </c>
      <c r="G14" s="10">
        <f t="shared" si="4"/>
        <v>818.13952729172115</v>
      </c>
      <c r="H14" s="90"/>
    </row>
    <row r="15" spans="1:8" x14ac:dyDescent="0.2">
      <c r="A15" s="34">
        <v>2013</v>
      </c>
      <c r="B15" s="3">
        <v>1886</v>
      </c>
      <c r="C15" s="3">
        <v>583</v>
      </c>
      <c r="D15" s="10">
        <f t="shared" si="2"/>
        <v>832.85714285714289</v>
      </c>
      <c r="E15" s="27">
        <f t="shared" si="3"/>
        <v>2718.8571428571431</v>
      </c>
      <c r="F15" s="105">
        <v>3.5375999999999999</v>
      </c>
      <c r="G15" s="10">
        <f t="shared" si="4"/>
        <v>768.55979841054477</v>
      </c>
      <c r="H15" s="90"/>
    </row>
    <row r="16" spans="1:8" x14ac:dyDescent="0.2">
      <c r="A16" s="34">
        <v>2014</v>
      </c>
      <c r="B16" s="3">
        <v>1859</v>
      </c>
      <c r="C16" s="3">
        <v>570</v>
      </c>
      <c r="D16" s="10">
        <f t="shared" si="2"/>
        <v>814.28571428571433</v>
      </c>
      <c r="E16" s="27">
        <f t="shared" si="3"/>
        <v>2673.2857142857142</v>
      </c>
      <c r="F16" s="105">
        <v>3.6021999999999998</v>
      </c>
      <c r="G16" s="10">
        <f t="shared" si="4"/>
        <v>742.12584373041875</v>
      </c>
      <c r="H16" s="90"/>
    </row>
    <row r="17" spans="1:8" x14ac:dyDescent="0.2">
      <c r="A17" s="34">
        <v>2015</v>
      </c>
      <c r="B17" s="3">
        <v>1810</v>
      </c>
      <c r="C17" s="3">
        <v>548</v>
      </c>
      <c r="D17" s="10">
        <f t="shared" si="2"/>
        <v>782.85714285714289</v>
      </c>
      <c r="E17" s="27">
        <f t="shared" si="3"/>
        <v>2592.8571428571431</v>
      </c>
      <c r="F17" s="105">
        <v>3.6848999999999998</v>
      </c>
      <c r="G17" s="10">
        <f t="shared" si="4"/>
        <v>703.64382828764508</v>
      </c>
      <c r="H17" s="52"/>
    </row>
    <row r="18" spans="1:8" x14ac:dyDescent="0.2">
      <c r="A18" s="34">
        <v>2016</v>
      </c>
      <c r="B18" s="10">
        <f>'(6) Tobacco Product Sales'!B12</f>
        <v>1791.7640000000001</v>
      </c>
      <c r="C18" s="10">
        <f>'(6) Tobacco Product Sales'!D12</f>
        <v>511.84561000000002</v>
      </c>
      <c r="D18" s="10">
        <f t="shared" si="2"/>
        <v>731.2080142857144</v>
      </c>
      <c r="E18" s="27">
        <f t="shared" si="3"/>
        <v>2522.9720142857145</v>
      </c>
      <c r="F18" s="106">
        <v>3.7746</v>
      </c>
      <c r="G18" s="10">
        <f>E18/F18</f>
        <v>668.40778209233156</v>
      </c>
      <c r="H18" s="90"/>
    </row>
    <row r="19" spans="1:8" x14ac:dyDescent="0.2">
      <c r="A19" s="78" t="s">
        <v>182</v>
      </c>
      <c r="B19" s="76">
        <f t="shared" ref="B19:G19" si="5">((B18-B17)/B17)*100</f>
        <v>-1.0075138121546894</v>
      </c>
      <c r="C19" s="76">
        <f t="shared" si="5"/>
        <v>-6.5975164233576606</v>
      </c>
      <c r="D19" s="76">
        <f t="shared" si="5"/>
        <v>-6.5975164233576535</v>
      </c>
      <c r="E19" s="76">
        <f t="shared" si="5"/>
        <v>-2.6952942148760339</v>
      </c>
      <c r="F19" s="77">
        <f t="shared" si="5"/>
        <v>2.4342587315802358</v>
      </c>
      <c r="G19" s="76">
        <f t="shared" si="5"/>
        <v>-5.0076536990400848</v>
      </c>
      <c r="H19" s="91"/>
    </row>
    <row r="20" spans="1:8" x14ac:dyDescent="0.2">
      <c r="A20" s="70" t="s">
        <v>166</v>
      </c>
      <c r="B20" s="79">
        <f t="shared" ref="B20:G20" si="6">((B18-B12)/B12)*100</f>
        <v>-19.289909909909905</v>
      </c>
      <c r="C20" s="79">
        <f t="shared" si="6"/>
        <v>-33.612761348897536</v>
      </c>
      <c r="D20" s="79">
        <f t="shared" si="6"/>
        <v>-33.612761348897536</v>
      </c>
      <c r="E20" s="79">
        <f t="shared" si="6"/>
        <v>-24.039552258064511</v>
      </c>
      <c r="F20" s="80">
        <f t="shared" si="6"/>
        <v>9.5674891146589296</v>
      </c>
      <c r="G20" s="79">
        <f t="shared" si="6"/>
        <v>-30.672457354165271</v>
      </c>
      <c r="H20" s="65"/>
    </row>
    <row r="22" spans="1:8" x14ac:dyDescent="0.2">
      <c r="A22" t="s">
        <v>273</v>
      </c>
      <c r="G22" s="14"/>
    </row>
    <row r="23" spans="1:8" x14ac:dyDescent="0.2">
      <c r="G23" s="3"/>
    </row>
    <row r="24" spans="1:8" x14ac:dyDescent="0.2">
      <c r="G24" s="3"/>
    </row>
    <row r="25" spans="1:8" x14ac:dyDescent="0.2">
      <c r="G25" s="3"/>
    </row>
    <row r="26" spans="1:8" x14ac:dyDescent="0.2">
      <c r="G26" s="150"/>
    </row>
    <row r="27" spans="1:8" x14ac:dyDescent="0.2">
      <c r="G27" s="150"/>
    </row>
    <row r="28" spans="1:8" x14ac:dyDescent="0.2">
      <c r="G28" s="150"/>
    </row>
    <row r="29" spans="1:8" x14ac:dyDescent="0.2">
      <c r="G29" s="10"/>
    </row>
    <row r="30" spans="1:8" x14ac:dyDescent="0.2">
      <c r="G30" s="10"/>
    </row>
    <row r="31" spans="1:8" x14ac:dyDescent="0.2">
      <c r="G31" s="10"/>
    </row>
    <row r="32" spans="1:8" x14ac:dyDescent="0.2">
      <c r="G32" s="10"/>
    </row>
    <row r="33" spans="7:7" x14ac:dyDescent="0.2">
      <c r="G33" s="10"/>
    </row>
    <row r="34" spans="7:7" x14ac:dyDescent="0.2">
      <c r="G34" s="3"/>
    </row>
    <row r="35" spans="7:7" x14ac:dyDescent="0.2">
      <c r="G35" s="3"/>
    </row>
    <row r="36" spans="7:7" x14ac:dyDescent="0.2">
      <c r="G36" s="3"/>
    </row>
    <row r="37" spans="7:7" x14ac:dyDescent="0.2">
      <c r="G37" s="3"/>
    </row>
    <row r="38" spans="7:7" x14ac:dyDescent="0.2">
      <c r="G38" s="3"/>
    </row>
    <row r="39" spans="7:7" x14ac:dyDescent="0.2">
      <c r="G39" s="3"/>
    </row>
    <row r="40" spans="7:7" x14ac:dyDescent="0.2">
      <c r="G40" s="3"/>
    </row>
    <row r="41" spans="7:7" x14ac:dyDescent="0.2">
      <c r="G41" s="3"/>
    </row>
  </sheetData>
  <pageMargins left="0.7" right="0.7" top="0.75" bottom="0.75" header="0.3" footer="0.3"/>
  <pageSetup paperSize="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I34" sqref="I34"/>
    </sheetView>
  </sheetViews>
  <sheetFormatPr defaultRowHeight="12.75" x14ac:dyDescent="0.2"/>
  <cols>
    <col min="1" max="1" width="12.140625" customWidth="1"/>
    <col min="2" max="2" width="14.85546875" customWidth="1"/>
  </cols>
  <sheetData>
    <row r="1" spans="1:2" ht="18" x14ac:dyDescent="0.25">
      <c r="A1" s="185" t="s">
        <v>274</v>
      </c>
    </row>
    <row r="3" spans="1:2" ht="25.5" x14ac:dyDescent="0.2">
      <c r="A3" s="98" t="s">
        <v>167</v>
      </c>
      <c r="B3" s="98" t="s">
        <v>227</v>
      </c>
    </row>
    <row r="4" spans="1:2" x14ac:dyDescent="0.2">
      <c r="A4" s="44"/>
      <c r="B4" s="74" t="s">
        <v>168</v>
      </c>
    </row>
    <row r="5" spans="1:2" x14ac:dyDescent="0.2">
      <c r="A5" s="34">
        <v>2009</v>
      </c>
      <c r="B5" s="150">
        <v>1096</v>
      </c>
    </row>
    <row r="6" spans="1:2" x14ac:dyDescent="0.2">
      <c r="A6" s="34">
        <v>2010</v>
      </c>
      <c r="B6" s="150">
        <v>1149</v>
      </c>
    </row>
    <row r="7" spans="1:2" x14ac:dyDescent="0.2">
      <c r="A7" s="34">
        <v>2011</v>
      </c>
      <c r="B7" s="150">
        <v>1270</v>
      </c>
    </row>
    <row r="8" spans="1:2" x14ac:dyDescent="0.2">
      <c r="A8" s="34">
        <v>2012</v>
      </c>
      <c r="B8" s="150">
        <v>1251</v>
      </c>
    </row>
    <row r="9" spans="1:2" x14ac:dyDescent="0.2">
      <c r="A9" s="34">
        <v>2013</v>
      </c>
      <c r="B9" s="150">
        <v>1326</v>
      </c>
    </row>
    <row r="10" spans="1:2" x14ac:dyDescent="0.2">
      <c r="A10" s="34">
        <v>2014</v>
      </c>
      <c r="B10" s="150">
        <v>1420</v>
      </c>
    </row>
    <row r="11" spans="1:2" x14ac:dyDescent="0.2">
      <c r="A11" s="34">
        <v>2015</v>
      </c>
      <c r="B11" s="150">
        <v>1563</v>
      </c>
    </row>
    <row r="12" spans="1:2" x14ac:dyDescent="0.2">
      <c r="A12" s="41">
        <v>2016</v>
      </c>
      <c r="B12" s="19">
        <v>1796</v>
      </c>
    </row>
    <row r="14" spans="1:2" x14ac:dyDescent="0.2">
      <c r="A14" t="s">
        <v>226</v>
      </c>
    </row>
  </sheetData>
  <pageMargins left="0.7" right="0.7" top="0.75" bottom="0.75" header="0.3" footer="0.3"/>
  <pageSetup paperSize="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workbookViewId="0">
      <selection activeCell="L32" sqref="L32"/>
    </sheetView>
  </sheetViews>
  <sheetFormatPr defaultRowHeight="12.75" x14ac:dyDescent="0.2"/>
  <cols>
    <col min="1" max="1" width="20.5703125" customWidth="1"/>
    <col min="10" max="10" width="11.28515625" customWidth="1"/>
  </cols>
  <sheetData>
    <row r="1" spans="1:13" ht="18" x14ac:dyDescent="0.25">
      <c r="A1" s="185" t="s">
        <v>267</v>
      </c>
    </row>
    <row r="3" spans="1:13" ht="48" x14ac:dyDescent="0.2">
      <c r="A3" s="67" t="s">
        <v>172</v>
      </c>
      <c r="B3" s="68">
        <v>2010</v>
      </c>
      <c r="C3" s="68">
        <v>2011</v>
      </c>
      <c r="D3" s="68">
        <v>2012</v>
      </c>
      <c r="E3" s="68">
        <v>2013</v>
      </c>
      <c r="F3" s="68">
        <v>2014</v>
      </c>
      <c r="G3" s="68">
        <v>2015</v>
      </c>
      <c r="H3" s="68">
        <v>2016</v>
      </c>
      <c r="I3" s="69" t="s">
        <v>173</v>
      </c>
    </row>
    <row r="4" spans="1:13" x14ac:dyDescent="0.2">
      <c r="A4" s="34" t="s">
        <v>31</v>
      </c>
      <c r="B4" s="3">
        <v>440</v>
      </c>
      <c r="C4" s="3">
        <v>500</v>
      </c>
      <c r="D4" s="3">
        <v>468</v>
      </c>
      <c r="E4" s="3">
        <v>440</v>
      </c>
      <c r="F4" s="3">
        <v>403</v>
      </c>
      <c r="G4" s="3">
        <v>419</v>
      </c>
      <c r="H4" s="83">
        <f>'(2) A.1 BAT (Cigs)'!D73</f>
        <v>388.81799999999998</v>
      </c>
      <c r="I4" s="3">
        <v>1</v>
      </c>
    </row>
    <row r="5" spans="1:13" x14ac:dyDescent="0.2">
      <c r="A5" s="34" t="s">
        <v>21</v>
      </c>
      <c r="B5" s="3">
        <v>485</v>
      </c>
      <c r="C5" s="3">
        <v>407</v>
      </c>
      <c r="D5" s="3">
        <v>411</v>
      </c>
      <c r="E5" s="3">
        <v>353</v>
      </c>
      <c r="F5" s="3">
        <v>316</v>
      </c>
      <c r="G5" s="3">
        <v>213</v>
      </c>
      <c r="H5" s="83">
        <f>'(2) A.1 BAT (Cigs)'!D47</f>
        <v>194.17099999999996</v>
      </c>
      <c r="I5" s="3">
        <v>2</v>
      </c>
      <c r="M5" t="s">
        <v>207</v>
      </c>
    </row>
    <row r="6" spans="1:13" x14ac:dyDescent="0.2">
      <c r="A6" s="34" t="s">
        <v>41</v>
      </c>
      <c r="B6" s="3"/>
      <c r="C6" s="3"/>
      <c r="D6" s="3">
        <v>57</v>
      </c>
      <c r="E6" s="3">
        <v>49</v>
      </c>
      <c r="F6" s="3">
        <v>77</v>
      </c>
      <c r="G6" s="3">
        <v>148</v>
      </c>
      <c r="H6" s="83">
        <f>'(2) A.1 BAT (Cigs)'!D82</f>
        <v>176.79099999999997</v>
      </c>
      <c r="I6" s="3">
        <v>3</v>
      </c>
    </row>
    <row r="7" spans="1:13" x14ac:dyDescent="0.2">
      <c r="A7" s="34" t="s">
        <v>281</v>
      </c>
      <c r="B7" s="3">
        <v>132</v>
      </c>
      <c r="C7" s="3">
        <v>198</v>
      </c>
      <c r="D7" s="3">
        <v>190</v>
      </c>
      <c r="E7" s="3">
        <v>186</v>
      </c>
      <c r="F7" s="3">
        <v>213</v>
      </c>
      <c r="G7" s="3">
        <v>199</v>
      </c>
      <c r="H7" s="83">
        <f>'(2) A.2 Imperial (Cigs)'!D44</f>
        <v>163.208</v>
      </c>
      <c r="I7" s="3">
        <v>4</v>
      </c>
    </row>
    <row r="8" spans="1:13" x14ac:dyDescent="0.2">
      <c r="A8" s="34" t="s">
        <v>3</v>
      </c>
      <c r="B8" s="3"/>
      <c r="C8" s="3"/>
      <c r="D8" s="3"/>
      <c r="E8" s="3"/>
      <c r="F8" s="3">
        <v>12</v>
      </c>
      <c r="G8" s="3">
        <v>54</v>
      </c>
      <c r="H8" s="83">
        <f>'(2) A.1 BAT (Cigs)'!D11</f>
        <v>133.43199999999999</v>
      </c>
      <c r="I8" s="3">
        <v>5</v>
      </c>
    </row>
    <row r="9" spans="1:13" x14ac:dyDescent="0.2">
      <c r="A9" s="34" t="s">
        <v>63</v>
      </c>
      <c r="B9" s="3"/>
      <c r="C9" s="3"/>
      <c r="D9" s="3"/>
      <c r="E9" s="3">
        <v>9</v>
      </c>
      <c r="F9" s="3">
        <v>72</v>
      </c>
      <c r="G9" s="3">
        <v>91</v>
      </c>
      <c r="H9" s="83">
        <f>'(2) A.2 Imperial (Cigs)'!D57</f>
        <v>108.453</v>
      </c>
      <c r="I9" s="3">
        <v>6</v>
      </c>
    </row>
    <row r="10" spans="1:13" x14ac:dyDescent="0.2">
      <c r="A10" s="34" t="s">
        <v>7</v>
      </c>
      <c r="B10" s="3">
        <v>212</v>
      </c>
      <c r="C10" s="3">
        <v>165</v>
      </c>
      <c r="D10" s="3">
        <v>149</v>
      </c>
      <c r="E10" s="3">
        <v>137</v>
      </c>
      <c r="F10" s="3">
        <v>134</v>
      </c>
      <c r="G10" s="3">
        <v>115</v>
      </c>
      <c r="H10" s="83">
        <f>'(2) A.1 BAT (Cigs)'!D20</f>
        <v>103.13500000000001</v>
      </c>
      <c r="I10" s="3">
        <v>7</v>
      </c>
    </row>
    <row r="11" spans="1:13" x14ac:dyDescent="0.2">
      <c r="A11" s="34" t="s">
        <v>70</v>
      </c>
      <c r="B11" s="3">
        <v>98</v>
      </c>
      <c r="C11" s="3">
        <v>86</v>
      </c>
      <c r="D11" s="3">
        <v>76</v>
      </c>
      <c r="E11" s="3">
        <v>76</v>
      </c>
      <c r="F11" s="3">
        <v>74</v>
      </c>
      <c r="G11" s="3">
        <v>74</v>
      </c>
      <c r="H11" s="83">
        <f>'(2) A.3 Philip Morris (Cigs)'!D26</f>
        <v>85.751000000000005</v>
      </c>
      <c r="I11" s="3">
        <v>8</v>
      </c>
    </row>
    <row r="12" spans="1:13" x14ac:dyDescent="0.2">
      <c r="A12" s="34" t="s">
        <v>43</v>
      </c>
      <c r="B12" s="3">
        <v>175</v>
      </c>
      <c r="C12" s="3">
        <v>149</v>
      </c>
      <c r="D12" s="3">
        <v>129</v>
      </c>
      <c r="E12" s="3">
        <v>112</v>
      </c>
      <c r="F12" s="3">
        <v>109</v>
      </c>
      <c r="G12" s="3">
        <v>93</v>
      </c>
      <c r="H12" s="83">
        <f>'(2) A.1 BAT (Cigs)'!D91</f>
        <v>80.486000000000004</v>
      </c>
      <c r="I12" s="3">
        <v>9</v>
      </c>
    </row>
    <row r="13" spans="1:13" x14ac:dyDescent="0.2">
      <c r="A13" s="39" t="s">
        <v>65</v>
      </c>
      <c r="B13" s="17"/>
      <c r="C13" s="17"/>
      <c r="D13" s="17"/>
      <c r="E13" s="17"/>
      <c r="F13" s="17"/>
      <c r="G13" s="17">
        <v>46</v>
      </c>
      <c r="H13" s="84">
        <f>'(2) A.3 Philip Morris (Cigs)'!D12</f>
        <v>79.594999999999999</v>
      </c>
      <c r="I13" s="3">
        <v>10</v>
      </c>
      <c r="M13" s="9"/>
    </row>
    <row r="14" spans="1:13" x14ac:dyDescent="0.2">
      <c r="A14" s="70" t="s">
        <v>174</v>
      </c>
      <c r="B14" s="72">
        <v>1993</v>
      </c>
      <c r="C14" s="72">
        <v>1906</v>
      </c>
      <c r="D14" s="72">
        <v>1836</v>
      </c>
      <c r="E14" s="72">
        <v>1723</v>
      </c>
      <c r="F14" s="72">
        <v>1628</v>
      </c>
      <c r="G14" s="72">
        <v>1470</v>
      </c>
      <c r="H14" s="85">
        <f>SUM(H4:H13)</f>
        <v>1513.84</v>
      </c>
      <c r="I14" s="3"/>
    </row>
    <row r="15" spans="1:13" x14ac:dyDescent="0.2">
      <c r="A15" s="71" t="s">
        <v>175</v>
      </c>
      <c r="B15" s="59">
        <v>2220</v>
      </c>
      <c r="C15" s="59">
        <v>2083</v>
      </c>
      <c r="D15" s="59">
        <v>2017</v>
      </c>
      <c r="E15" s="59">
        <v>1895</v>
      </c>
      <c r="F15" s="59">
        <v>1858.5</v>
      </c>
      <c r="G15" s="59">
        <v>1810</v>
      </c>
      <c r="H15" s="85">
        <f>'(2) A.1 BAT (Cigs)'!D92+'(2) A.2 Imperial (Cigs)'!D58+'(2) A.3 Philip Morris (Cigs)'!D27+'(2) A.4 Other Brands (Cigs)'!D41</f>
        <v>1791.7640000000001</v>
      </c>
      <c r="I15" s="3"/>
    </row>
    <row r="16" spans="1:13" x14ac:dyDescent="0.2">
      <c r="A16" s="71" t="s">
        <v>176</v>
      </c>
      <c r="B16" s="108">
        <f t="shared" ref="B16:H16" si="0">(B14/B15)*100</f>
        <v>89.774774774774784</v>
      </c>
      <c r="C16" s="108">
        <f t="shared" si="0"/>
        <v>91.502640422467593</v>
      </c>
      <c r="D16" s="108">
        <f t="shared" si="0"/>
        <v>91.026276648487851</v>
      </c>
      <c r="E16" s="108">
        <f t="shared" si="0"/>
        <v>90.923482849604227</v>
      </c>
      <c r="F16" s="108">
        <f t="shared" si="0"/>
        <v>87.597524885660476</v>
      </c>
      <c r="G16" s="108">
        <f t="shared" si="0"/>
        <v>81.215469613259671</v>
      </c>
      <c r="H16" s="108">
        <f t="shared" si="0"/>
        <v>84.488805445359986</v>
      </c>
      <c r="I16" s="3"/>
    </row>
    <row r="19" spans="1:9" ht="18" x14ac:dyDescent="0.25">
      <c r="A19" s="185" t="s">
        <v>266</v>
      </c>
    </row>
    <row r="21" spans="1:9" ht="36" x14ac:dyDescent="0.2">
      <c r="A21" s="67" t="s">
        <v>177</v>
      </c>
      <c r="B21" s="68">
        <v>2010</v>
      </c>
      <c r="C21" s="68">
        <v>2011</v>
      </c>
      <c r="D21" s="68">
        <v>2012</v>
      </c>
      <c r="E21" s="68">
        <v>2013</v>
      </c>
      <c r="F21" s="68">
        <v>2014</v>
      </c>
      <c r="G21" s="68">
        <v>2015</v>
      </c>
      <c r="H21" s="68">
        <v>2016</v>
      </c>
      <c r="I21" s="69" t="s">
        <v>178</v>
      </c>
    </row>
    <row r="22" spans="1:9" x14ac:dyDescent="0.2">
      <c r="A22" s="34" t="s">
        <v>90</v>
      </c>
      <c r="B22" s="3">
        <v>251</v>
      </c>
      <c r="C22" s="3">
        <v>176</v>
      </c>
      <c r="D22" s="3">
        <v>174</v>
      </c>
      <c r="E22" s="3">
        <v>157</v>
      </c>
      <c r="F22" s="3">
        <v>144</v>
      </c>
      <c r="G22" s="3">
        <v>120</v>
      </c>
      <c r="H22" s="86">
        <f>'(3) B.1 BAT (RYO)'!D37</f>
        <v>104.06000000000002</v>
      </c>
      <c r="I22" s="14">
        <v>1</v>
      </c>
    </row>
    <row r="23" spans="1:9" x14ac:dyDescent="0.2">
      <c r="A23" s="34" t="s">
        <v>88</v>
      </c>
      <c r="B23" s="3">
        <v>202</v>
      </c>
      <c r="C23" s="3">
        <v>161</v>
      </c>
      <c r="D23" s="3">
        <v>139</v>
      </c>
      <c r="E23" s="3">
        <v>114</v>
      </c>
      <c r="F23" s="3">
        <v>116</v>
      </c>
      <c r="G23" s="3">
        <v>98</v>
      </c>
      <c r="H23" s="86">
        <f>'(3) B.1 BAT (RYO)'!D29</f>
        <v>87.067999999999998</v>
      </c>
      <c r="I23" s="14">
        <v>2</v>
      </c>
    </row>
    <row r="24" spans="1:9" x14ac:dyDescent="0.2">
      <c r="A24" s="34" t="s">
        <v>98</v>
      </c>
      <c r="B24" s="3">
        <v>34</v>
      </c>
      <c r="C24" s="3">
        <v>46</v>
      </c>
      <c r="D24" s="3">
        <v>52</v>
      </c>
      <c r="E24" s="3">
        <v>63</v>
      </c>
      <c r="F24" s="3">
        <v>71</v>
      </c>
      <c r="G24" s="3">
        <v>92</v>
      </c>
      <c r="H24" s="86">
        <f>'(3) B.2 Imperial (RYO)'!D40</f>
        <v>84.78</v>
      </c>
      <c r="I24" s="14">
        <v>3</v>
      </c>
    </row>
    <row r="25" spans="1:9" x14ac:dyDescent="0.2">
      <c r="A25" s="34" t="s">
        <v>43</v>
      </c>
      <c r="B25" s="3">
        <v>98</v>
      </c>
      <c r="C25" s="3">
        <v>86</v>
      </c>
      <c r="D25" s="3">
        <v>76</v>
      </c>
      <c r="E25" s="3">
        <v>76</v>
      </c>
      <c r="F25" s="3">
        <v>65</v>
      </c>
      <c r="G25" s="3">
        <v>63</v>
      </c>
      <c r="H25" s="86">
        <f>'(3) B.1 BAT (RYO)'!D47</f>
        <v>60.910000000000004</v>
      </c>
      <c r="I25" s="14">
        <v>4</v>
      </c>
    </row>
    <row r="26" spans="1:9" x14ac:dyDescent="0.2">
      <c r="A26" s="34" t="s">
        <v>21</v>
      </c>
      <c r="B26" s="3">
        <v>83</v>
      </c>
      <c r="C26" s="3">
        <v>63</v>
      </c>
      <c r="D26" s="3">
        <v>59</v>
      </c>
      <c r="E26" s="3">
        <v>55</v>
      </c>
      <c r="F26" s="3">
        <v>50</v>
      </c>
      <c r="G26" s="3">
        <v>42</v>
      </c>
      <c r="H26" s="87">
        <f>'(3) B.1 BAT (RYO)'!D21</f>
        <v>41.574999999999996</v>
      </c>
      <c r="I26" s="14">
        <v>5</v>
      </c>
    </row>
    <row r="27" spans="1:9" x14ac:dyDescent="0.2">
      <c r="A27" s="70" t="s">
        <v>179</v>
      </c>
      <c r="B27" s="63">
        <v>659</v>
      </c>
      <c r="C27" s="63">
        <v>546</v>
      </c>
      <c r="D27" s="63">
        <v>515</v>
      </c>
      <c r="E27" s="63">
        <v>490</v>
      </c>
      <c r="F27" s="63">
        <v>444</v>
      </c>
      <c r="G27" s="63">
        <v>419</v>
      </c>
      <c r="H27" s="88">
        <f>SUM(H22:H26)</f>
        <v>378.39300000000003</v>
      </c>
    </row>
    <row r="28" spans="1:9" x14ac:dyDescent="0.2">
      <c r="A28" s="71" t="s">
        <v>175</v>
      </c>
      <c r="B28" s="63">
        <v>771</v>
      </c>
      <c r="C28" s="63">
        <v>631</v>
      </c>
      <c r="D28" s="63">
        <v>587</v>
      </c>
      <c r="E28" s="63">
        <v>550</v>
      </c>
      <c r="F28" s="63">
        <v>570</v>
      </c>
      <c r="G28" s="63">
        <v>635</v>
      </c>
      <c r="H28" s="88">
        <f>'(3) B.1 BAT (RYO)'!D48+'(3) B.2 Imperial (RYO)'!D41+'(3) B.3 Philip Morris (RYO)'!D9+'(3) B.4 Other Brands (RYO)'!D38</f>
        <v>511.84561000000002</v>
      </c>
    </row>
    <row r="29" spans="1:9" x14ac:dyDescent="0.2">
      <c r="A29" s="71" t="s">
        <v>180</v>
      </c>
      <c r="B29" s="92">
        <f t="shared" ref="B29:H29" si="1">(B27/B28)*100</f>
        <v>85.473411154345001</v>
      </c>
      <c r="C29" s="92">
        <f t="shared" si="1"/>
        <v>86.52931854199683</v>
      </c>
      <c r="D29" s="92">
        <f t="shared" si="1"/>
        <v>87.734241908006823</v>
      </c>
      <c r="E29" s="92">
        <f t="shared" si="1"/>
        <v>89.090909090909093</v>
      </c>
      <c r="F29" s="92">
        <f t="shared" si="1"/>
        <v>77.89473684210526</v>
      </c>
      <c r="G29" s="92">
        <f t="shared" si="1"/>
        <v>65.984251968503941</v>
      </c>
      <c r="H29" s="92">
        <f t="shared" si="1"/>
        <v>73.927175032330553</v>
      </c>
    </row>
    <row r="33" spans="1:8" x14ac:dyDescent="0.2">
      <c r="H33" s="9"/>
    </row>
    <row r="40" spans="1:8" x14ac:dyDescent="0.2">
      <c r="A40" s="7"/>
    </row>
    <row r="41" spans="1:8" x14ac:dyDescent="0.2">
      <c r="A41" s="7"/>
    </row>
    <row r="42" spans="1:8" x14ac:dyDescent="0.2">
      <c r="A42" s="7"/>
    </row>
    <row r="43" spans="1:8" x14ac:dyDescent="0.2">
      <c r="A43" s="7"/>
    </row>
  </sheetData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20" sqref="B20"/>
    </sheetView>
  </sheetViews>
  <sheetFormatPr defaultRowHeight="12.75" x14ac:dyDescent="0.2"/>
  <cols>
    <col min="1" max="1" width="31.7109375" customWidth="1"/>
  </cols>
  <sheetData>
    <row r="1" spans="1:2" ht="18" x14ac:dyDescent="0.25">
      <c r="A1" s="185" t="s">
        <v>214</v>
      </c>
    </row>
    <row r="3" spans="1:2" ht="19.5" customHeight="1" x14ac:dyDescent="0.2">
      <c r="A3" s="186" t="s">
        <v>0</v>
      </c>
      <c r="B3" s="187" t="s">
        <v>220</v>
      </c>
    </row>
    <row r="4" spans="1:2" ht="19.5" customHeight="1" x14ac:dyDescent="0.2">
      <c r="A4" s="186" t="s">
        <v>215</v>
      </c>
      <c r="B4" s="187" t="s">
        <v>221</v>
      </c>
    </row>
    <row r="5" spans="1:2" ht="19.5" customHeight="1" x14ac:dyDescent="0.2">
      <c r="A5" s="186" t="s">
        <v>187</v>
      </c>
      <c r="B5" s="187" t="s">
        <v>287</v>
      </c>
    </row>
    <row r="6" spans="1:2" ht="19.5" customHeight="1" x14ac:dyDescent="0.2">
      <c r="A6" s="186" t="s">
        <v>189</v>
      </c>
      <c r="B6" s="187" t="s">
        <v>288</v>
      </c>
    </row>
    <row r="7" spans="1:2" ht="19.5" customHeight="1" x14ac:dyDescent="0.2">
      <c r="A7" s="186" t="s">
        <v>185</v>
      </c>
      <c r="B7" s="187" t="s">
        <v>289</v>
      </c>
    </row>
    <row r="8" spans="1:2" ht="21" customHeight="1" x14ac:dyDescent="0.2">
      <c r="A8" s="186" t="s">
        <v>2</v>
      </c>
      <c r="B8" s="187" t="s">
        <v>222</v>
      </c>
    </row>
    <row r="9" spans="1:2" ht="21" customHeight="1" x14ac:dyDescent="0.2">
      <c r="A9" s="186" t="s">
        <v>227</v>
      </c>
      <c r="B9" s="187" t="s">
        <v>275</v>
      </c>
    </row>
    <row r="10" spans="1:2" ht="18.75" customHeight="1" x14ac:dyDescent="0.2">
      <c r="A10" s="186" t="s">
        <v>190</v>
      </c>
      <c r="B10" s="187" t="s">
        <v>282</v>
      </c>
    </row>
    <row r="11" spans="1:2" ht="18.75" customHeight="1" x14ac:dyDescent="0.2">
      <c r="A11" s="186"/>
      <c r="B11" s="187" t="s">
        <v>283</v>
      </c>
    </row>
    <row r="12" spans="1:2" ht="20.25" customHeight="1" x14ac:dyDescent="0.2">
      <c r="A12" s="186" t="s">
        <v>208</v>
      </c>
      <c r="B12" s="187" t="s">
        <v>225</v>
      </c>
    </row>
    <row r="13" spans="1:2" ht="20.25" customHeight="1" x14ac:dyDescent="0.2">
      <c r="A13" s="186" t="s">
        <v>217</v>
      </c>
      <c r="B13" s="187" t="s">
        <v>284</v>
      </c>
    </row>
    <row r="14" spans="1:2" ht="20.25" customHeight="1" x14ac:dyDescent="0.2">
      <c r="A14" s="186"/>
      <c r="B14" s="187" t="s">
        <v>285</v>
      </c>
    </row>
    <row r="15" spans="1:2" ht="19.5" customHeight="1" x14ac:dyDescent="0.2">
      <c r="A15" s="186" t="s">
        <v>218</v>
      </c>
      <c r="B15" s="187" t="s">
        <v>284</v>
      </c>
    </row>
    <row r="16" spans="1:2" ht="19.5" customHeight="1" x14ac:dyDescent="0.2">
      <c r="A16" s="186"/>
      <c r="B16" s="187" t="s">
        <v>286</v>
      </c>
    </row>
    <row r="17" spans="1:2" ht="21.75" customHeight="1" x14ac:dyDescent="0.2">
      <c r="A17" s="186" t="s">
        <v>219</v>
      </c>
      <c r="B17" s="187" t="s">
        <v>224</v>
      </c>
    </row>
    <row r="18" spans="1:2" ht="20.25" customHeight="1" x14ac:dyDescent="0.2">
      <c r="A18" s="186" t="s">
        <v>184</v>
      </c>
      <c r="B18" s="187" t="s">
        <v>223</v>
      </c>
    </row>
    <row r="19" spans="1:2" ht="20.25" customHeight="1" x14ac:dyDescent="0.2"/>
    <row r="20" spans="1:2" ht="18.75" customHeight="1" x14ac:dyDescent="0.2"/>
    <row r="21" spans="1:2" ht="21.75" customHeight="1" x14ac:dyDescent="0.2"/>
    <row r="23" spans="1:2" x14ac:dyDescent="0.2">
      <c r="A23" s="2"/>
    </row>
    <row r="24" spans="1:2" x14ac:dyDescent="0.2">
      <c r="A24" s="2"/>
    </row>
    <row r="25" spans="1:2" x14ac:dyDescent="0.2">
      <c r="A25" s="2"/>
    </row>
    <row r="26" spans="1:2" x14ac:dyDescent="0.2">
      <c r="A26" s="2"/>
    </row>
    <row r="27" spans="1:2" x14ac:dyDescent="0.2">
      <c r="A27" s="2"/>
    </row>
    <row r="28" spans="1:2" x14ac:dyDescent="0.2">
      <c r="A28" s="2"/>
    </row>
  </sheetData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"/>
  <sheetViews>
    <sheetView zoomScaleNormal="100" workbookViewId="0">
      <selection activeCell="I23" sqref="I23"/>
    </sheetView>
  </sheetViews>
  <sheetFormatPr defaultRowHeight="12.75" x14ac:dyDescent="0.2"/>
  <cols>
    <col min="1" max="1" width="16.5703125" customWidth="1"/>
    <col min="2" max="2" width="24.140625" customWidth="1"/>
    <col min="3" max="3" width="12.42578125" customWidth="1"/>
    <col min="4" max="4" width="21.140625" customWidth="1"/>
    <col min="5" max="6" width="14.7109375" customWidth="1"/>
    <col min="7" max="7" width="22" customWidth="1"/>
    <col min="8" max="8" width="16.5703125" customWidth="1"/>
    <col min="9" max="9" width="15.7109375" customWidth="1"/>
    <col min="10" max="10" width="17.5703125" customWidth="1"/>
    <col min="11" max="11" width="33" customWidth="1"/>
  </cols>
  <sheetData>
    <row r="1" spans="1:10" ht="18" x14ac:dyDescent="0.25">
      <c r="A1" s="185" t="s">
        <v>246</v>
      </c>
    </row>
    <row r="3" spans="1:10" ht="15" customHeight="1" x14ac:dyDescent="0.2">
      <c r="A3" s="42" t="s">
        <v>0</v>
      </c>
      <c r="B3" s="42" t="s">
        <v>1</v>
      </c>
      <c r="C3" s="42" t="s">
        <v>2</v>
      </c>
      <c r="D3" s="43" t="s">
        <v>184</v>
      </c>
      <c r="E3" s="42" t="s">
        <v>185</v>
      </c>
      <c r="F3" s="42" t="s">
        <v>187</v>
      </c>
      <c r="G3" s="42" t="s">
        <v>186</v>
      </c>
      <c r="I3" s="1"/>
    </row>
    <row r="4" spans="1:10" ht="15" customHeight="1" x14ac:dyDescent="0.2">
      <c r="A4" s="42"/>
      <c r="B4" s="42"/>
      <c r="C4" s="42"/>
      <c r="D4" s="97" t="s">
        <v>169</v>
      </c>
      <c r="E4" s="96" t="s">
        <v>276</v>
      </c>
      <c r="F4" s="96" t="s">
        <v>276</v>
      </c>
      <c r="G4" s="96" t="s">
        <v>278</v>
      </c>
      <c r="I4" s="1"/>
    </row>
    <row r="5" spans="1:10" ht="15" customHeight="1" x14ac:dyDescent="0.2">
      <c r="A5" s="42"/>
      <c r="B5" s="42"/>
      <c r="C5" s="42"/>
      <c r="D5" s="97"/>
      <c r="E5" s="96"/>
      <c r="F5" s="96" t="s">
        <v>201</v>
      </c>
      <c r="G5" s="96" t="s">
        <v>202</v>
      </c>
      <c r="I5" s="1"/>
    </row>
    <row r="6" spans="1:10" x14ac:dyDescent="0.2">
      <c r="A6" s="32" t="s">
        <v>203</v>
      </c>
      <c r="B6" s="33"/>
      <c r="C6" s="34"/>
      <c r="H6" s="8"/>
    </row>
    <row r="7" spans="1:10" x14ac:dyDescent="0.2">
      <c r="A7" s="35"/>
      <c r="B7" s="36"/>
      <c r="C7" s="37"/>
      <c r="D7" s="15" t="s">
        <v>3</v>
      </c>
      <c r="E7" s="15"/>
      <c r="F7" s="15"/>
      <c r="G7" s="13"/>
      <c r="H7" s="24"/>
    </row>
    <row r="8" spans="1:10" x14ac:dyDescent="0.2">
      <c r="A8" s="36" t="s">
        <v>3</v>
      </c>
      <c r="B8" s="124" t="s">
        <v>4</v>
      </c>
      <c r="C8" s="37">
        <v>20</v>
      </c>
      <c r="D8" s="138">
        <v>96.856999999999999</v>
      </c>
      <c r="E8" s="16">
        <v>19.5</v>
      </c>
      <c r="F8" s="16">
        <f>E8/C8</f>
        <v>0.97499999999999998</v>
      </c>
      <c r="G8" s="170">
        <f>D8*F8</f>
        <v>94.435575</v>
      </c>
      <c r="H8" s="22"/>
    </row>
    <row r="9" spans="1:10" x14ac:dyDescent="0.2">
      <c r="A9" s="36"/>
      <c r="B9" s="36" t="s">
        <v>5</v>
      </c>
      <c r="C9" s="37">
        <v>20</v>
      </c>
      <c r="D9" s="138">
        <v>20.369</v>
      </c>
      <c r="E9" s="16">
        <v>19.5</v>
      </c>
      <c r="F9" s="16">
        <f>E9/C9</f>
        <v>0.97499999999999998</v>
      </c>
      <c r="G9" s="170">
        <f t="shared" ref="G9:G79" si="0">D9*F9</f>
        <v>19.859774999999999</v>
      </c>
      <c r="H9" s="22"/>
    </row>
    <row r="10" spans="1:10" x14ac:dyDescent="0.2">
      <c r="A10" s="36"/>
      <c r="B10" s="36" t="s">
        <v>6</v>
      </c>
      <c r="C10" s="37">
        <v>20</v>
      </c>
      <c r="D10" s="138">
        <v>16.206</v>
      </c>
      <c r="E10" s="16">
        <v>19.5</v>
      </c>
      <c r="F10" s="16">
        <f>E10/C10</f>
        <v>0.97499999999999998</v>
      </c>
      <c r="G10" s="170">
        <f t="shared" si="0"/>
        <v>15.800849999999999</v>
      </c>
      <c r="H10" s="22"/>
    </row>
    <row r="11" spans="1:10" x14ac:dyDescent="0.2">
      <c r="A11" s="36"/>
      <c r="B11" s="36"/>
      <c r="C11" s="37"/>
      <c r="D11" s="140">
        <f>SUM(D8:D10)</f>
        <v>133.43199999999999</v>
      </c>
      <c r="E11" s="16"/>
      <c r="F11" s="22"/>
      <c r="G11" s="170"/>
      <c r="H11" s="22"/>
    </row>
    <row r="12" spans="1:10" x14ac:dyDescent="0.2">
      <c r="A12" s="40"/>
      <c r="B12" s="40"/>
      <c r="C12" s="41"/>
      <c r="D12" s="136" t="s">
        <v>7</v>
      </c>
      <c r="E12" s="30"/>
      <c r="F12" s="23"/>
      <c r="G12" s="174"/>
      <c r="H12" s="22"/>
    </row>
    <row r="13" spans="1:10" x14ac:dyDescent="0.2">
      <c r="A13" s="36" t="s">
        <v>7</v>
      </c>
      <c r="B13" s="36" t="s">
        <v>8</v>
      </c>
      <c r="C13" s="37">
        <v>20</v>
      </c>
      <c r="D13" s="138">
        <v>6.2370000000000001</v>
      </c>
      <c r="E13" s="16">
        <v>24.5</v>
      </c>
      <c r="F13" s="16">
        <f t="shared" ref="F13:F19" si="1">E13/C13</f>
        <v>1.2250000000000001</v>
      </c>
      <c r="G13" s="170">
        <f t="shared" si="0"/>
        <v>7.6403250000000007</v>
      </c>
      <c r="H13" s="22"/>
      <c r="J13" s="151"/>
    </row>
    <row r="14" spans="1:10" x14ac:dyDescent="0.2">
      <c r="A14" s="36"/>
      <c r="B14" s="36" t="s">
        <v>9</v>
      </c>
      <c r="C14" s="37">
        <v>20</v>
      </c>
      <c r="D14" s="138">
        <v>7.8209999999999997</v>
      </c>
      <c r="E14" s="16">
        <v>24.5</v>
      </c>
      <c r="F14" s="16">
        <f t="shared" si="1"/>
        <v>1.2250000000000001</v>
      </c>
      <c r="G14" s="170">
        <f t="shared" si="0"/>
        <v>9.580725000000001</v>
      </c>
      <c r="H14" s="22"/>
    </row>
    <row r="15" spans="1:10" x14ac:dyDescent="0.2">
      <c r="A15" s="36"/>
      <c r="B15" s="36" t="s">
        <v>9</v>
      </c>
      <c r="C15" s="37">
        <v>25</v>
      </c>
      <c r="D15" s="138">
        <v>6.258</v>
      </c>
      <c r="E15" s="16">
        <v>30.2</v>
      </c>
      <c r="F15" s="16">
        <f t="shared" si="1"/>
        <v>1.208</v>
      </c>
      <c r="G15" s="170">
        <f t="shared" si="0"/>
        <v>7.5596639999999997</v>
      </c>
      <c r="H15" s="22"/>
      <c r="J15" s="149"/>
    </row>
    <row r="16" spans="1:10" x14ac:dyDescent="0.2">
      <c r="A16" s="36"/>
      <c r="B16" s="36" t="s">
        <v>12</v>
      </c>
      <c r="C16" s="37">
        <v>50</v>
      </c>
      <c r="D16" s="138">
        <v>0.61199999999999999</v>
      </c>
      <c r="E16" s="16">
        <v>60</v>
      </c>
      <c r="F16" s="16">
        <f t="shared" si="1"/>
        <v>1.2</v>
      </c>
      <c r="G16" s="170">
        <f t="shared" si="0"/>
        <v>0.73439999999999994</v>
      </c>
      <c r="H16" s="22"/>
    </row>
    <row r="17" spans="1:8" x14ac:dyDescent="0.2">
      <c r="A17" s="36"/>
      <c r="B17" s="36" t="s">
        <v>10</v>
      </c>
      <c r="C17" s="37">
        <v>20</v>
      </c>
      <c r="D17" s="138">
        <v>46.738999999999997</v>
      </c>
      <c r="E17" s="16">
        <v>24.5</v>
      </c>
      <c r="F17" s="16">
        <f t="shared" si="1"/>
        <v>1.2250000000000001</v>
      </c>
      <c r="G17" s="170">
        <f t="shared" si="0"/>
        <v>57.255274999999997</v>
      </c>
      <c r="H17" s="22"/>
    </row>
    <row r="18" spans="1:8" x14ac:dyDescent="0.2">
      <c r="A18" s="36"/>
      <c r="B18" s="36" t="s">
        <v>10</v>
      </c>
      <c r="C18" s="37">
        <v>25</v>
      </c>
      <c r="D18" s="138">
        <v>31.806000000000001</v>
      </c>
      <c r="E18" s="16">
        <v>30.2</v>
      </c>
      <c r="F18" s="16">
        <f t="shared" si="1"/>
        <v>1.208</v>
      </c>
      <c r="G18" s="170">
        <f t="shared" si="0"/>
        <v>38.421647999999998</v>
      </c>
      <c r="H18" s="22"/>
    </row>
    <row r="19" spans="1:8" x14ac:dyDescent="0.2">
      <c r="A19" s="36"/>
      <c r="B19" s="36" t="s">
        <v>13</v>
      </c>
      <c r="C19" s="37">
        <v>50</v>
      </c>
      <c r="D19" s="138">
        <v>3.6619999999999999</v>
      </c>
      <c r="E19" s="16">
        <v>60</v>
      </c>
      <c r="F19" s="16">
        <f t="shared" si="1"/>
        <v>1.2</v>
      </c>
      <c r="G19" s="170">
        <f t="shared" si="0"/>
        <v>4.3944000000000001</v>
      </c>
      <c r="H19" s="22"/>
    </row>
    <row r="20" spans="1:8" x14ac:dyDescent="0.2">
      <c r="A20" s="36"/>
      <c r="B20" s="36"/>
      <c r="C20" s="37"/>
      <c r="D20" s="140">
        <f>SUM(D13:D19)</f>
        <v>103.13500000000001</v>
      </c>
      <c r="E20" s="16"/>
      <c r="F20" s="22"/>
      <c r="G20" s="170"/>
      <c r="H20" s="22"/>
    </row>
    <row r="21" spans="1:8" x14ac:dyDescent="0.2">
      <c r="A21" s="40"/>
      <c r="B21" s="40"/>
      <c r="C21" s="41"/>
      <c r="D21" s="136" t="s">
        <v>11</v>
      </c>
      <c r="E21" s="30"/>
      <c r="F21" s="23"/>
      <c r="G21" s="174"/>
      <c r="H21" s="22"/>
    </row>
    <row r="22" spans="1:8" x14ac:dyDescent="0.2">
      <c r="A22" s="36" t="s">
        <v>11</v>
      </c>
      <c r="B22" s="36" t="s">
        <v>14</v>
      </c>
      <c r="C22" s="37">
        <v>20</v>
      </c>
      <c r="D22" s="138">
        <v>12.827</v>
      </c>
      <c r="E22" s="16">
        <v>24.6</v>
      </c>
      <c r="F22" s="16">
        <f>E22/C22</f>
        <v>1.23</v>
      </c>
      <c r="G22" s="170">
        <f t="shared" si="0"/>
        <v>15.77721</v>
      </c>
      <c r="H22" s="22"/>
    </row>
    <row r="23" spans="1:8" x14ac:dyDescent="0.2">
      <c r="A23" s="36"/>
      <c r="B23" s="36" t="s">
        <v>15</v>
      </c>
      <c r="C23" s="37">
        <v>20</v>
      </c>
      <c r="D23" s="138">
        <v>5.0529999999999999</v>
      </c>
      <c r="E23" s="16">
        <v>24.6</v>
      </c>
      <c r="F23" s="16">
        <f>E23/C23</f>
        <v>1.23</v>
      </c>
      <c r="G23" s="170">
        <f t="shared" si="0"/>
        <v>6.2151899999999998</v>
      </c>
      <c r="H23" s="22"/>
    </row>
    <row r="24" spans="1:8" x14ac:dyDescent="0.2">
      <c r="A24" s="36"/>
      <c r="B24" s="36" t="s">
        <v>16</v>
      </c>
      <c r="C24" s="37">
        <v>20</v>
      </c>
      <c r="D24" s="138">
        <v>25.58</v>
      </c>
      <c r="E24" s="16">
        <v>24.6</v>
      </c>
      <c r="F24" s="16">
        <f>E24/C24</f>
        <v>1.23</v>
      </c>
      <c r="G24" s="170">
        <f t="shared" si="0"/>
        <v>31.463399999999996</v>
      </c>
      <c r="H24" s="22"/>
    </row>
    <row r="25" spans="1:8" x14ac:dyDescent="0.2">
      <c r="A25" s="36"/>
      <c r="B25" s="36" t="s">
        <v>17</v>
      </c>
      <c r="C25" s="37">
        <v>20</v>
      </c>
      <c r="D25" s="138">
        <v>18.192</v>
      </c>
      <c r="E25" s="16">
        <v>24.6</v>
      </c>
      <c r="F25" s="16">
        <f>E25/C25</f>
        <v>1.23</v>
      </c>
      <c r="G25" s="170">
        <f t="shared" si="0"/>
        <v>22.376159999999999</v>
      </c>
      <c r="H25" s="22"/>
    </row>
    <row r="26" spans="1:8" x14ac:dyDescent="0.2">
      <c r="A26" s="36"/>
      <c r="B26" s="36"/>
      <c r="C26" s="37"/>
      <c r="D26" s="140">
        <f>SUM(D22:D25)</f>
        <v>61.651999999999994</v>
      </c>
      <c r="E26" s="16"/>
      <c r="F26" s="22"/>
      <c r="G26" s="170"/>
      <c r="H26" s="22"/>
    </row>
    <row r="27" spans="1:8" x14ac:dyDescent="0.2">
      <c r="A27" s="40"/>
      <c r="B27" s="40"/>
      <c r="C27" s="41"/>
      <c r="D27" s="136" t="s">
        <v>18</v>
      </c>
      <c r="E27" s="30"/>
      <c r="F27" s="23"/>
      <c r="G27" s="174"/>
      <c r="H27" s="22"/>
    </row>
    <row r="28" spans="1:8" x14ac:dyDescent="0.2">
      <c r="A28" s="36" t="s">
        <v>18</v>
      </c>
      <c r="B28" s="36" t="s">
        <v>19</v>
      </c>
      <c r="C28" s="37">
        <v>20</v>
      </c>
      <c r="D28" s="138">
        <v>1.9630000000000001</v>
      </c>
      <c r="E28" s="16">
        <v>21.6</v>
      </c>
      <c r="F28" s="16">
        <f>E28/C28</f>
        <v>1.08</v>
      </c>
      <c r="G28" s="170">
        <f t="shared" si="0"/>
        <v>2.1200400000000004</v>
      </c>
      <c r="H28" s="22"/>
    </row>
    <row r="29" spans="1:8" x14ac:dyDescent="0.2">
      <c r="A29" s="36"/>
      <c r="B29" s="36" t="s">
        <v>19</v>
      </c>
      <c r="C29" s="37">
        <v>30</v>
      </c>
      <c r="D29" s="138">
        <v>1.8380000000000001</v>
      </c>
      <c r="E29" s="16">
        <v>31</v>
      </c>
      <c r="F29" s="16">
        <f>E29/C29</f>
        <v>1.0333333333333334</v>
      </c>
      <c r="G29" s="170">
        <f t="shared" si="0"/>
        <v>1.8992666666666669</v>
      </c>
      <c r="H29" s="22"/>
    </row>
    <row r="30" spans="1:8" x14ac:dyDescent="0.2">
      <c r="A30" s="36"/>
      <c r="B30" s="36" t="s">
        <v>20</v>
      </c>
      <c r="C30" s="37">
        <v>20</v>
      </c>
      <c r="D30" s="138">
        <v>22.323</v>
      </c>
      <c r="E30" s="16">
        <v>21.3</v>
      </c>
      <c r="F30" s="16">
        <f>E30/C30</f>
        <v>1.0649999999999999</v>
      </c>
      <c r="G30" s="170">
        <f t="shared" si="0"/>
        <v>23.773994999999999</v>
      </c>
      <c r="H30" s="22"/>
    </row>
    <row r="31" spans="1:8" x14ac:dyDescent="0.2">
      <c r="A31" s="36"/>
      <c r="B31" s="36" t="s">
        <v>20</v>
      </c>
      <c r="C31" s="37">
        <v>30</v>
      </c>
      <c r="D31" s="138">
        <v>26.574000000000002</v>
      </c>
      <c r="E31" s="16">
        <v>29.9</v>
      </c>
      <c r="F31" s="16">
        <f>E31/C31</f>
        <v>0.99666666666666659</v>
      </c>
      <c r="G31" s="170">
        <f t="shared" si="0"/>
        <v>26.485420000000001</v>
      </c>
      <c r="H31" s="22"/>
    </row>
    <row r="32" spans="1:8" x14ac:dyDescent="0.2">
      <c r="A32" s="36"/>
      <c r="B32" s="36"/>
      <c r="C32" s="37"/>
      <c r="D32" s="140">
        <f>SUM(D28:D31)</f>
        <v>52.698000000000008</v>
      </c>
      <c r="E32" s="16"/>
      <c r="F32" s="22"/>
      <c r="G32" s="170"/>
      <c r="H32" s="22"/>
    </row>
    <row r="33" spans="1:8" x14ac:dyDescent="0.2">
      <c r="A33" s="40"/>
      <c r="B33" s="40"/>
      <c r="C33" s="41"/>
      <c r="D33" s="136" t="s">
        <v>21</v>
      </c>
      <c r="E33" s="30"/>
      <c r="F33" s="23"/>
      <c r="G33" s="174"/>
      <c r="H33" s="22"/>
    </row>
    <row r="34" spans="1:8" x14ac:dyDescent="0.2">
      <c r="A34" s="36" t="s">
        <v>21</v>
      </c>
      <c r="B34" s="36" t="s">
        <v>22</v>
      </c>
      <c r="C34" s="37">
        <v>20</v>
      </c>
      <c r="D34" s="110">
        <v>25.09</v>
      </c>
      <c r="E34" s="16">
        <v>22.8</v>
      </c>
      <c r="F34" s="16">
        <f t="shared" ref="F34:F46" si="2">E34/C34</f>
        <v>1.1400000000000001</v>
      </c>
      <c r="G34" s="170">
        <f t="shared" si="0"/>
        <v>28.602600000000002</v>
      </c>
      <c r="H34" s="22"/>
    </row>
    <row r="35" spans="1:8" x14ac:dyDescent="0.2">
      <c r="A35" s="36"/>
      <c r="B35" s="36" t="s">
        <v>22</v>
      </c>
      <c r="C35" s="37">
        <v>25</v>
      </c>
      <c r="D35" s="110">
        <v>13.239000000000001</v>
      </c>
      <c r="E35" s="16">
        <v>28.2</v>
      </c>
      <c r="F35" s="16">
        <f t="shared" si="2"/>
        <v>1.1279999999999999</v>
      </c>
      <c r="G35" s="170">
        <f t="shared" si="0"/>
        <v>14.933591999999999</v>
      </c>
      <c r="H35" s="22"/>
    </row>
    <row r="36" spans="1:8" x14ac:dyDescent="0.2">
      <c r="A36" s="36"/>
      <c r="B36" s="36" t="s">
        <v>22</v>
      </c>
      <c r="C36" s="37">
        <v>30</v>
      </c>
      <c r="D36" s="110">
        <v>12.266</v>
      </c>
      <c r="E36" s="16">
        <v>33.5</v>
      </c>
      <c r="F36" s="16">
        <f t="shared" si="2"/>
        <v>1.1166666666666667</v>
      </c>
      <c r="G36" s="170">
        <f t="shared" si="0"/>
        <v>13.697033333333334</v>
      </c>
      <c r="H36" s="22"/>
    </row>
    <row r="37" spans="1:8" x14ac:dyDescent="0.2">
      <c r="A37" s="36"/>
      <c r="B37" s="36" t="s">
        <v>23</v>
      </c>
      <c r="C37" s="37">
        <v>25</v>
      </c>
      <c r="D37" s="110">
        <v>9.32</v>
      </c>
      <c r="E37" s="16">
        <v>28.2</v>
      </c>
      <c r="F37" s="16">
        <f t="shared" si="2"/>
        <v>1.1279999999999999</v>
      </c>
      <c r="G37" s="170">
        <f t="shared" si="0"/>
        <v>10.51296</v>
      </c>
      <c r="H37" s="22"/>
    </row>
    <row r="38" spans="1:8" x14ac:dyDescent="0.2">
      <c r="A38" s="36"/>
      <c r="B38" s="36" t="s">
        <v>23</v>
      </c>
      <c r="C38" s="37">
        <v>30</v>
      </c>
      <c r="D38" s="110">
        <v>9.9350000000000005</v>
      </c>
      <c r="E38" s="16">
        <v>33.5</v>
      </c>
      <c r="F38" s="16">
        <f t="shared" si="2"/>
        <v>1.1166666666666667</v>
      </c>
      <c r="G38" s="170">
        <f t="shared" si="0"/>
        <v>11.094083333333334</v>
      </c>
      <c r="H38" s="22"/>
    </row>
    <row r="39" spans="1:8" x14ac:dyDescent="0.2">
      <c r="A39" s="36"/>
      <c r="B39" s="36" t="s">
        <v>24</v>
      </c>
      <c r="C39" s="37">
        <v>20</v>
      </c>
      <c r="D39" s="110">
        <v>23.934000000000001</v>
      </c>
      <c r="E39" s="16">
        <v>22.8</v>
      </c>
      <c r="F39" s="16">
        <f t="shared" si="2"/>
        <v>1.1400000000000001</v>
      </c>
      <c r="G39" s="170">
        <f t="shared" si="0"/>
        <v>27.284760000000006</v>
      </c>
      <c r="H39" s="22"/>
    </row>
    <row r="40" spans="1:8" x14ac:dyDescent="0.2">
      <c r="A40" s="36"/>
      <c r="B40" s="36" t="s">
        <v>19</v>
      </c>
      <c r="C40" s="37">
        <v>20</v>
      </c>
      <c r="D40" s="110">
        <v>38.511000000000003</v>
      </c>
      <c r="E40" s="16">
        <v>22.8</v>
      </c>
      <c r="F40" s="16">
        <f t="shared" si="2"/>
        <v>1.1400000000000001</v>
      </c>
      <c r="G40" s="170">
        <f t="shared" si="0"/>
        <v>43.902540000000009</v>
      </c>
      <c r="H40" s="22"/>
    </row>
    <row r="41" spans="1:8" x14ac:dyDescent="0.2">
      <c r="A41" s="36"/>
      <c r="B41" s="36" t="s">
        <v>19</v>
      </c>
      <c r="C41" s="37">
        <v>25</v>
      </c>
      <c r="D41" s="110">
        <v>18.545000000000002</v>
      </c>
      <c r="E41" s="16">
        <v>28.2</v>
      </c>
      <c r="F41" s="16">
        <f t="shared" si="2"/>
        <v>1.1279999999999999</v>
      </c>
      <c r="G41" s="170">
        <f t="shared" si="0"/>
        <v>20.918759999999999</v>
      </c>
      <c r="H41" s="22"/>
    </row>
    <row r="42" spans="1:8" x14ac:dyDescent="0.2">
      <c r="A42" s="36"/>
      <c r="B42" s="36" t="s">
        <v>19</v>
      </c>
      <c r="C42" s="37">
        <v>30</v>
      </c>
      <c r="D42" s="110">
        <v>20.881</v>
      </c>
      <c r="E42" s="16">
        <v>33.5</v>
      </c>
      <c r="F42" s="16">
        <f t="shared" si="2"/>
        <v>1.1166666666666667</v>
      </c>
      <c r="G42" s="170">
        <f t="shared" si="0"/>
        <v>23.317116666666667</v>
      </c>
      <c r="H42" s="22"/>
    </row>
    <row r="43" spans="1:8" x14ac:dyDescent="0.2">
      <c r="A43" s="36"/>
      <c r="B43" s="36" t="s">
        <v>25</v>
      </c>
      <c r="C43" s="37">
        <v>50</v>
      </c>
      <c r="D43" s="110">
        <v>5.3559999999999999</v>
      </c>
      <c r="E43" s="16">
        <v>55.4</v>
      </c>
      <c r="F43" s="16">
        <f t="shared" si="2"/>
        <v>1.1079999999999999</v>
      </c>
      <c r="G43" s="170">
        <f t="shared" si="0"/>
        <v>5.9344479999999988</v>
      </c>
      <c r="H43" s="22"/>
    </row>
    <row r="44" spans="1:8" x14ac:dyDescent="0.2">
      <c r="A44" s="36"/>
      <c r="B44" s="36" t="s">
        <v>26</v>
      </c>
      <c r="C44" s="37">
        <v>20</v>
      </c>
      <c r="D44" s="110">
        <v>9.6609999999999996</v>
      </c>
      <c r="E44" s="16">
        <v>23</v>
      </c>
      <c r="F44" s="16">
        <f t="shared" si="2"/>
        <v>1.1499999999999999</v>
      </c>
      <c r="G44" s="170">
        <f t="shared" si="0"/>
        <v>11.110149999999999</v>
      </c>
      <c r="H44" s="22"/>
    </row>
    <row r="45" spans="1:8" x14ac:dyDescent="0.2">
      <c r="A45" s="36"/>
      <c r="B45" s="36" t="s">
        <v>27</v>
      </c>
      <c r="C45" s="37">
        <v>20</v>
      </c>
      <c r="D45" s="110">
        <v>3.7120000000000002</v>
      </c>
      <c r="E45" s="16">
        <v>23</v>
      </c>
      <c r="F45" s="16">
        <f t="shared" si="2"/>
        <v>1.1499999999999999</v>
      </c>
      <c r="G45" s="170">
        <f t="shared" si="0"/>
        <v>4.2687999999999997</v>
      </c>
      <c r="H45" s="22"/>
    </row>
    <row r="46" spans="1:8" x14ac:dyDescent="0.2">
      <c r="A46" s="36"/>
      <c r="B46" s="36" t="s">
        <v>28</v>
      </c>
      <c r="C46" s="37">
        <v>20</v>
      </c>
      <c r="D46" s="110">
        <v>3.7210000000000001</v>
      </c>
      <c r="E46" s="16">
        <v>23</v>
      </c>
      <c r="F46" s="16">
        <f t="shared" si="2"/>
        <v>1.1499999999999999</v>
      </c>
      <c r="G46" s="170">
        <f t="shared" si="0"/>
        <v>4.2791499999999996</v>
      </c>
      <c r="H46" s="22"/>
    </row>
    <row r="47" spans="1:8" x14ac:dyDescent="0.2">
      <c r="A47" s="36"/>
      <c r="B47" s="36"/>
      <c r="C47" s="37"/>
      <c r="D47" s="135">
        <f>SUM(D34:D46)</f>
        <v>194.17099999999996</v>
      </c>
      <c r="E47" s="16"/>
      <c r="F47" s="22"/>
      <c r="G47" s="170"/>
      <c r="H47" s="22"/>
    </row>
    <row r="48" spans="1:8" x14ac:dyDescent="0.2">
      <c r="A48" s="40"/>
      <c r="B48" s="40"/>
      <c r="C48" s="41"/>
      <c r="D48" s="136" t="s">
        <v>29</v>
      </c>
      <c r="E48" s="30"/>
      <c r="F48" s="23"/>
      <c r="G48" s="174"/>
      <c r="H48" s="22"/>
    </row>
    <row r="49" spans="1:10" x14ac:dyDescent="0.2">
      <c r="A49" s="36" t="s">
        <v>29</v>
      </c>
      <c r="B49" s="36" t="s">
        <v>30</v>
      </c>
      <c r="C49" s="37">
        <v>20</v>
      </c>
      <c r="D49" s="138">
        <v>0.879</v>
      </c>
      <c r="E49" s="16">
        <v>25.9</v>
      </c>
      <c r="F49" s="16">
        <f>E49/C49</f>
        <v>1.2949999999999999</v>
      </c>
      <c r="G49" s="170">
        <f t="shared" si="0"/>
        <v>1.1383049999999999</v>
      </c>
      <c r="H49" s="22"/>
    </row>
    <row r="50" spans="1:10" x14ac:dyDescent="0.2">
      <c r="A50" s="36"/>
      <c r="B50" s="36"/>
      <c r="C50" s="37"/>
      <c r="D50" s="140">
        <f>SUM(D49)</f>
        <v>0.879</v>
      </c>
      <c r="E50" s="16"/>
      <c r="F50" s="22"/>
      <c r="G50" s="170"/>
      <c r="H50" s="22"/>
    </row>
    <row r="51" spans="1:10" x14ac:dyDescent="0.2">
      <c r="A51" s="40"/>
      <c r="B51" s="40"/>
      <c r="C51" s="41"/>
      <c r="D51" s="136" t="s">
        <v>31</v>
      </c>
      <c r="E51" s="30"/>
      <c r="F51" s="23"/>
      <c r="G51" s="174"/>
      <c r="H51" s="22"/>
    </row>
    <row r="52" spans="1:10" x14ac:dyDescent="0.2">
      <c r="A52" s="36" t="s">
        <v>31</v>
      </c>
      <c r="B52" s="36" t="s">
        <v>32</v>
      </c>
      <c r="C52" s="37">
        <v>20</v>
      </c>
      <c r="D52" s="139">
        <v>11.941000000000001</v>
      </c>
      <c r="E52" s="16">
        <v>22.1</v>
      </c>
      <c r="F52" s="16">
        <f t="shared" ref="F52:F72" si="3">E52/C52</f>
        <v>1.105</v>
      </c>
      <c r="G52" s="170">
        <f t="shared" si="0"/>
        <v>13.194805000000001</v>
      </c>
      <c r="H52" s="22"/>
    </row>
    <row r="53" spans="1:10" x14ac:dyDescent="0.2">
      <c r="A53" s="36"/>
      <c r="B53" s="36" t="s">
        <v>32</v>
      </c>
      <c r="C53" s="37">
        <v>25</v>
      </c>
      <c r="D53" s="110">
        <v>5.0750000000000002</v>
      </c>
      <c r="E53" s="16">
        <v>27.7</v>
      </c>
      <c r="F53" s="16">
        <f t="shared" si="3"/>
        <v>1.1079999999999999</v>
      </c>
      <c r="G53" s="170">
        <f t="shared" si="0"/>
        <v>5.6231</v>
      </c>
      <c r="H53" s="22"/>
    </row>
    <row r="54" spans="1:10" x14ac:dyDescent="0.2">
      <c r="A54" s="36"/>
      <c r="B54" s="36" t="s">
        <v>33</v>
      </c>
      <c r="C54" s="37">
        <v>20</v>
      </c>
      <c r="D54" s="110">
        <v>9.6120000000000001</v>
      </c>
      <c r="E54" s="16">
        <v>22.1</v>
      </c>
      <c r="F54" s="16">
        <f t="shared" si="3"/>
        <v>1.105</v>
      </c>
      <c r="G54" s="170">
        <f t="shared" si="0"/>
        <v>10.621259999999999</v>
      </c>
      <c r="H54" s="22"/>
    </row>
    <row r="55" spans="1:10" x14ac:dyDescent="0.2">
      <c r="A55" s="36"/>
      <c r="B55" s="36" t="s">
        <v>33</v>
      </c>
      <c r="C55" s="37">
        <v>25</v>
      </c>
      <c r="D55" s="110">
        <v>3.2010000000000001</v>
      </c>
      <c r="E55" s="16">
        <v>27.7</v>
      </c>
      <c r="F55" s="16">
        <f t="shared" si="3"/>
        <v>1.1079999999999999</v>
      </c>
      <c r="G55" s="170">
        <f t="shared" si="0"/>
        <v>3.5467079999999997</v>
      </c>
      <c r="H55" s="22"/>
    </row>
    <row r="56" spans="1:10" x14ac:dyDescent="0.2">
      <c r="A56" s="36"/>
      <c r="B56" s="36" t="s">
        <v>34</v>
      </c>
      <c r="C56" s="37">
        <v>20</v>
      </c>
      <c r="D56" s="110">
        <v>23.632999999999999</v>
      </c>
      <c r="E56" s="16">
        <v>22.1</v>
      </c>
      <c r="F56" s="16">
        <f t="shared" si="3"/>
        <v>1.105</v>
      </c>
      <c r="G56" s="170">
        <f t="shared" si="0"/>
        <v>26.114464999999999</v>
      </c>
      <c r="H56" s="22"/>
      <c r="J56" s="116"/>
    </row>
    <row r="57" spans="1:10" x14ac:dyDescent="0.2">
      <c r="A57" s="36"/>
      <c r="B57" s="36" t="s">
        <v>34</v>
      </c>
      <c r="C57" s="37">
        <v>25</v>
      </c>
      <c r="D57" s="110">
        <v>12.7</v>
      </c>
      <c r="E57" s="16">
        <v>27.7</v>
      </c>
      <c r="F57" s="16">
        <f t="shared" si="3"/>
        <v>1.1079999999999999</v>
      </c>
      <c r="G57" s="170">
        <f t="shared" si="0"/>
        <v>14.071599999999998</v>
      </c>
      <c r="H57" s="22"/>
    </row>
    <row r="58" spans="1:10" x14ac:dyDescent="0.2">
      <c r="A58" s="36"/>
      <c r="B58" s="36" t="s">
        <v>35</v>
      </c>
      <c r="C58" s="37">
        <v>20</v>
      </c>
      <c r="D58" s="110">
        <v>61.44</v>
      </c>
      <c r="E58" s="16">
        <v>21.6</v>
      </c>
      <c r="F58" s="16">
        <f t="shared" si="3"/>
        <v>1.08</v>
      </c>
      <c r="G58" s="170">
        <f t="shared" si="0"/>
        <v>66.355199999999996</v>
      </c>
      <c r="H58" s="22"/>
    </row>
    <row r="59" spans="1:10" x14ac:dyDescent="0.2">
      <c r="A59" s="36"/>
      <c r="B59" s="36" t="s">
        <v>35</v>
      </c>
      <c r="C59" s="37">
        <v>25</v>
      </c>
      <c r="D59" s="110">
        <v>21.8</v>
      </c>
      <c r="E59" s="16">
        <v>26.5</v>
      </c>
      <c r="F59" s="16">
        <f t="shared" si="3"/>
        <v>1.06</v>
      </c>
      <c r="G59" s="170">
        <f t="shared" si="0"/>
        <v>23.108000000000001</v>
      </c>
      <c r="H59" s="22"/>
    </row>
    <row r="60" spans="1:10" x14ac:dyDescent="0.2">
      <c r="A60" s="36"/>
      <c r="B60" s="36" t="s">
        <v>35</v>
      </c>
      <c r="C60" s="37">
        <v>30</v>
      </c>
      <c r="D60" s="110">
        <v>27.111999999999998</v>
      </c>
      <c r="E60" s="16">
        <v>30.5</v>
      </c>
      <c r="F60" s="16">
        <f t="shared" si="3"/>
        <v>1.0166666666666666</v>
      </c>
      <c r="G60" s="170">
        <f t="shared" si="0"/>
        <v>27.563866666666662</v>
      </c>
      <c r="H60" s="22"/>
    </row>
    <row r="61" spans="1:10" x14ac:dyDescent="0.2">
      <c r="A61" s="36"/>
      <c r="B61" s="36" t="s">
        <v>35</v>
      </c>
      <c r="C61" s="37">
        <v>40</v>
      </c>
      <c r="D61" s="110">
        <v>34.887</v>
      </c>
      <c r="E61" s="16">
        <v>40</v>
      </c>
      <c r="F61" s="16">
        <f t="shared" si="3"/>
        <v>1</v>
      </c>
      <c r="G61" s="170">
        <f t="shared" si="0"/>
        <v>34.887</v>
      </c>
      <c r="H61" s="22"/>
    </row>
    <row r="62" spans="1:10" x14ac:dyDescent="0.2">
      <c r="A62" s="36"/>
      <c r="B62" s="36" t="s">
        <v>36</v>
      </c>
      <c r="C62" s="37">
        <v>20</v>
      </c>
      <c r="D62" s="110">
        <v>21.588999999999999</v>
      </c>
      <c r="E62" s="16">
        <v>21.6</v>
      </c>
      <c r="F62" s="16">
        <f t="shared" si="3"/>
        <v>1.08</v>
      </c>
      <c r="G62" s="170">
        <f t="shared" si="0"/>
        <v>23.316120000000002</v>
      </c>
      <c r="H62" s="22"/>
    </row>
    <row r="63" spans="1:10" x14ac:dyDescent="0.2">
      <c r="A63" s="36"/>
      <c r="B63" s="36" t="s">
        <v>36</v>
      </c>
      <c r="C63" s="37">
        <v>25</v>
      </c>
      <c r="D63" s="110">
        <v>4.3079999999999998</v>
      </c>
      <c r="E63" s="16">
        <v>26.5</v>
      </c>
      <c r="F63" s="16">
        <f t="shared" si="3"/>
        <v>1.06</v>
      </c>
      <c r="G63" s="170">
        <f t="shared" si="0"/>
        <v>4.5664800000000003</v>
      </c>
      <c r="H63" s="22"/>
    </row>
    <row r="64" spans="1:10" x14ac:dyDescent="0.2">
      <c r="A64" s="36"/>
      <c r="B64" s="36" t="s">
        <v>36</v>
      </c>
      <c r="C64" s="37">
        <v>30</v>
      </c>
      <c r="D64" s="110">
        <v>8.3629999999999995</v>
      </c>
      <c r="E64" s="16">
        <v>30.5</v>
      </c>
      <c r="F64" s="16">
        <f t="shared" si="3"/>
        <v>1.0166666666666666</v>
      </c>
      <c r="G64" s="170">
        <f t="shared" si="0"/>
        <v>8.5023833333333325</v>
      </c>
      <c r="H64" s="22"/>
    </row>
    <row r="65" spans="1:8" x14ac:dyDescent="0.2">
      <c r="A65" s="36"/>
      <c r="B65" s="36" t="s">
        <v>36</v>
      </c>
      <c r="C65" s="37">
        <v>40</v>
      </c>
      <c r="D65" s="110">
        <v>8.8119999999999994</v>
      </c>
      <c r="E65" s="16">
        <v>40</v>
      </c>
      <c r="F65" s="16">
        <f t="shared" si="3"/>
        <v>1</v>
      </c>
      <c r="G65" s="170">
        <f t="shared" si="0"/>
        <v>8.8119999999999994</v>
      </c>
      <c r="H65" s="22"/>
    </row>
    <row r="66" spans="1:8" x14ac:dyDescent="0.2">
      <c r="A66" s="36"/>
      <c r="B66" s="36" t="s">
        <v>37</v>
      </c>
      <c r="C66" s="37">
        <v>20</v>
      </c>
      <c r="D66" s="110">
        <v>19.617999999999999</v>
      </c>
      <c r="E66" s="16">
        <v>21.6</v>
      </c>
      <c r="F66" s="16">
        <f t="shared" si="3"/>
        <v>1.08</v>
      </c>
      <c r="G66" s="170">
        <f t="shared" si="0"/>
        <v>21.187439999999999</v>
      </c>
      <c r="H66" s="22"/>
    </row>
    <row r="67" spans="1:8" x14ac:dyDescent="0.2">
      <c r="A67" s="36"/>
      <c r="B67" s="36" t="s">
        <v>37</v>
      </c>
      <c r="C67" s="37">
        <v>25</v>
      </c>
      <c r="D67" s="110">
        <v>3.7879999999999998</v>
      </c>
      <c r="E67" s="16">
        <v>26.5</v>
      </c>
      <c r="F67" s="16">
        <f t="shared" si="3"/>
        <v>1.06</v>
      </c>
      <c r="G67" s="170">
        <f t="shared" si="0"/>
        <v>4.0152799999999997</v>
      </c>
      <c r="H67" s="22"/>
    </row>
    <row r="68" spans="1:8" x14ac:dyDescent="0.2">
      <c r="A68" s="36"/>
      <c r="B68" s="36" t="s">
        <v>37</v>
      </c>
      <c r="C68" s="37">
        <v>30</v>
      </c>
      <c r="D68" s="110">
        <v>8.8610000000000007</v>
      </c>
      <c r="E68" s="16">
        <v>30.5</v>
      </c>
      <c r="F68" s="16">
        <f t="shared" si="3"/>
        <v>1.0166666666666666</v>
      </c>
      <c r="G68" s="170">
        <f t="shared" si="0"/>
        <v>9.0086833333333338</v>
      </c>
      <c r="H68" s="22"/>
    </row>
    <row r="69" spans="1:8" x14ac:dyDescent="0.2">
      <c r="A69" s="36"/>
      <c r="B69" s="36" t="s">
        <v>37</v>
      </c>
      <c r="C69" s="37">
        <v>40</v>
      </c>
      <c r="D69" s="110">
        <v>11.358000000000001</v>
      </c>
      <c r="E69" s="16">
        <v>40</v>
      </c>
      <c r="F69" s="16">
        <f t="shared" si="3"/>
        <v>1</v>
      </c>
      <c r="G69" s="170">
        <f t="shared" si="0"/>
        <v>11.358000000000001</v>
      </c>
      <c r="H69" s="22"/>
    </row>
    <row r="70" spans="1:8" x14ac:dyDescent="0.2">
      <c r="A70" s="36"/>
      <c r="B70" s="36" t="s">
        <v>38</v>
      </c>
      <c r="C70" s="37">
        <v>20</v>
      </c>
      <c r="D70" s="110">
        <v>59.863999999999997</v>
      </c>
      <c r="E70" s="16">
        <v>21.9</v>
      </c>
      <c r="F70" s="16">
        <f t="shared" si="3"/>
        <v>1.095</v>
      </c>
      <c r="G70" s="170">
        <f t="shared" si="0"/>
        <v>65.551079999999999</v>
      </c>
      <c r="H70" s="22"/>
    </row>
    <row r="71" spans="1:8" x14ac:dyDescent="0.2">
      <c r="A71" s="36"/>
      <c r="B71" s="36" t="s">
        <v>39</v>
      </c>
      <c r="C71" s="37">
        <v>20</v>
      </c>
      <c r="D71" s="110">
        <v>13.891</v>
      </c>
      <c r="E71" s="16">
        <v>21.9</v>
      </c>
      <c r="F71" s="16">
        <f t="shared" si="3"/>
        <v>1.095</v>
      </c>
      <c r="G71" s="170">
        <f t="shared" si="0"/>
        <v>15.210645</v>
      </c>
      <c r="H71" s="22"/>
    </row>
    <row r="72" spans="1:8" x14ac:dyDescent="0.2">
      <c r="A72" s="36"/>
      <c r="B72" s="36" t="s">
        <v>40</v>
      </c>
      <c r="C72" s="37">
        <v>20</v>
      </c>
      <c r="D72" s="110">
        <v>16.965</v>
      </c>
      <c r="E72" s="16">
        <v>21.9</v>
      </c>
      <c r="F72" s="16">
        <f t="shared" si="3"/>
        <v>1.095</v>
      </c>
      <c r="G72" s="170">
        <f t="shared" si="0"/>
        <v>18.576674999999998</v>
      </c>
      <c r="H72" s="22"/>
    </row>
    <row r="73" spans="1:8" x14ac:dyDescent="0.2">
      <c r="A73" s="36"/>
      <c r="B73" s="36"/>
      <c r="C73" s="37"/>
      <c r="D73" s="135">
        <f>SUM(D52:D72)</f>
        <v>388.81799999999998</v>
      </c>
      <c r="E73" s="16"/>
      <c r="F73" s="22"/>
      <c r="G73" s="170"/>
      <c r="H73" s="22"/>
    </row>
    <row r="74" spans="1:8" x14ac:dyDescent="0.2">
      <c r="A74" s="40"/>
      <c r="B74" s="40"/>
      <c r="C74" s="41"/>
      <c r="D74" s="136" t="s">
        <v>41</v>
      </c>
      <c r="E74" s="30"/>
      <c r="F74" s="23"/>
      <c r="G74" s="174"/>
      <c r="H74" s="22"/>
    </row>
    <row r="75" spans="1:8" x14ac:dyDescent="0.2">
      <c r="A75" s="36" t="s">
        <v>41</v>
      </c>
      <c r="B75" s="36" t="s">
        <v>42</v>
      </c>
      <c r="C75" s="37">
        <v>20</v>
      </c>
      <c r="D75" s="110">
        <v>10.803000000000001</v>
      </c>
      <c r="E75" s="16">
        <v>25</v>
      </c>
      <c r="F75" s="16">
        <f t="shared" ref="F75:F81" si="4">E75/C75</f>
        <v>1.25</v>
      </c>
      <c r="G75" s="170">
        <f t="shared" si="0"/>
        <v>13.50375</v>
      </c>
      <c r="H75" s="22"/>
    </row>
    <row r="76" spans="1:8" x14ac:dyDescent="0.2">
      <c r="A76" s="36"/>
      <c r="B76" s="36" t="s">
        <v>42</v>
      </c>
      <c r="C76" s="37">
        <v>25</v>
      </c>
      <c r="D76" s="110">
        <v>11.746</v>
      </c>
      <c r="E76" s="16">
        <v>31.3</v>
      </c>
      <c r="F76" s="16">
        <f t="shared" si="4"/>
        <v>1.252</v>
      </c>
      <c r="G76" s="170">
        <f t="shared" si="0"/>
        <v>14.705992</v>
      </c>
      <c r="H76" s="22"/>
    </row>
    <row r="77" spans="1:8" x14ac:dyDescent="0.2">
      <c r="A77" s="36"/>
      <c r="B77" s="36" t="s">
        <v>19</v>
      </c>
      <c r="C77" s="37">
        <v>20</v>
      </c>
      <c r="D77" s="110">
        <v>59.539000000000001</v>
      </c>
      <c r="E77" s="16">
        <v>20.2</v>
      </c>
      <c r="F77" s="16">
        <f t="shared" si="4"/>
        <v>1.01</v>
      </c>
      <c r="G77" s="170">
        <f t="shared" si="0"/>
        <v>60.134390000000003</v>
      </c>
      <c r="H77" s="22"/>
    </row>
    <row r="78" spans="1:8" x14ac:dyDescent="0.2">
      <c r="A78" s="36"/>
      <c r="B78" s="36" t="s">
        <v>19</v>
      </c>
      <c r="C78" s="37">
        <v>25</v>
      </c>
      <c r="D78" s="110">
        <v>1.772</v>
      </c>
      <c r="E78" s="73">
        <v>24.9</v>
      </c>
      <c r="F78" s="16">
        <f t="shared" si="4"/>
        <v>0.996</v>
      </c>
      <c r="G78" s="170">
        <f t="shared" si="0"/>
        <v>1.764912</v>
      </c>
      <c r="H78" s="22"/>
    </row>
    <row r="79" spans="1:8" x14ac:dyDescent="0.2">
      <c r="A79" s="36"/>
      <c r="B79" s="36" t="s">
        <v>19</v>
      </c>
      <c r="C79" s="37">
        <v>30</v>
      </c>
      <c r="D79" s="110">
        <v>9.577</v>
      </c>
      <c r="E79" s="73">
        <v>29.9</v>
      </c>
      <c r="F79" s="16">
        <f t="shared" si="4"/>
        <v>0.99666666666666659</v>
      </c>
      <c r="G79" s="170">
        <f t="shared" si="0"/>
        <v>9.5450766666666667</v>
      </c>
      <c r="H79" s="22"/>
    </row>
    <row r="80" spans="1:8" x14ac:dyDescent="0.2">
      <c r="A80" s="36"/>
      <c r="B80" s="36" t="s">
        <v>22</v>
      </c>
      <c r="C80" s="37">
        <v>20</v>
      </c>
      <c r="D80" s="110">
        <v>70.825999999999993</v>
      </c>
      <c r="E80" s="16">
        <v>20.2</v>
      </c>
      <c r="F80" s="16">
        <f t="shared" si="4"/>
        <v>1.01</v>
      </c>
      <c r="G80" s="170">
        <f t="shared" ref="G80:G90" si="5">D80*F80</f>
        <v>71.534259999999989</v>
      </c>
      <c r="H80" s="22"/>
    </row>
    <row r="81" spans="1:8" x14ac:dyDescent="0.2">
      <c r="A81" s="36"/>
      <c r="B81" s="36" t="s">
        <v>23</v>
      </c>
      <c r="C81" s="37">
        <v>20</v>
      </c>
      <c r="D81" s="110">
        <v>12.528</v>
      </c>
      <c r="E81" s="16">
        <v>20.2</v>
      </c>
      <c r="F81" s="16">
        <f t="shared" si="4"/>
        <v>1.01</v>
      </c>
      <c r="G81" s="170">
        <f t="shared" si="5"/>
        <v>12.653280000000001</v>
      </c>
      <c r="H81" s="118"/>
    </row>
    <row r="82" spans="1:8" x14ac:dyDescent="0.2">
      <c r="A82" s="36"/>
      <c r="B82" s="36"/>
      <c r="C82" s="37"/>
      <c r="D82" s="135">
        <f>SUM(D75:D81)</f>
        <v>176.79099999999997</v>
      </c>
      <c r="E82" s="16"/>
      <c r="F82" s="22"/>
      <c r="G82" s="170"/>
      <c r="H82" s="118"/>
    </row>
    <row r="83" spans="1:8" x14ac:dyDescent="0.2">
      <c r="A83" s="40"/>
      <c r="B83" s="40"/>
      <c r="C83" s="41"/>
      <c r="D83" s="136" t="s">
        <v>43</v>
      </c>
      <c r="E83" s="30"/>
      <c r="F83" s="23"/>
      <c r="G83" s="174"/>
      <c r="H83" s="22"/>
    </row>
    <row r="84" spans="1:8" x14ac:dyDescent="0.2">
      <c r="A84" s="36" t="s">
        <v>43</v>
      </c>
      <c r="B84" s="36" t="s">
        <v>22</v>
      </c>
      <c r="C84" s="37">
        <v>20</v>
      </c>
      <c r="D84" s="110">
        <v>9.7430000000000003</v>
      </c>
      <c r="E84" s="16">
        <v>23.9</v>
      </c>
      <c r="F84" s="16">
        <f t="shared" ref="F84:F90" si="6">E84/C84</f>
        <v>1.1949999999999998</v>
      </c>
      <c r="G84" s="170">
        <f t="shared" si="5"/>
        <v>11.642885</v>
      </c>
      <c r="H84" s="22"/>
    </row>
    <row r="85" spans="1:8" x14ac:dyDescent="0.2">
      <c r="A85" s="36"/>
      <c r="B85" s="36" t="s">
        <v>22</v>
      </c>
      <c r="C85" s="37">
        <v>25</v>
      </c>
      <c r="D85" s="110">
        <v>18.823</v>
      </c>
      <c r="E85" s="16">
        <v>29.4</v>
      </c>
      <c r="F85" s="16">
        <f t="shared" si="6"/>
        <v>1.1759999999999999</v>
      </c>
      <c r="G85" s="170">
        <f t="shared" si="5"/>
        <v>22.135847999999999</v>
      </c>
      <c r="H85" s="22"/>
    </row>
    <row r="86" spans="1:8" x14ac:dyDescent="0.2">
      <c r="A86" s="36"/>
      <c r="B86" s="36" t="s">
        <v>19</v>
      </c>
      <c r="C86" s="37">
        <v>20</v>
      </c>
      <c r="D86" s="110">
        <v>12.231</v>
      </c>
      <c r="E86" s="16">
        <v>23.9</v>
      </c>
      <c r="F86" s="16">
        <f t="shared" si="6"/>
        <v>1.1949999999999998</v>
      </c>
      <c r="G86" s="170">
        <f t="shared" si="5"/>
        <v>14.616044999999998</v>
      </c>
      <c r="H86" s="22"/>
    </row>
    <row r="87" spans="1:8" x14ac:dyDescent="0.2">
      <c r="A87" s="36"/>
      <c r="B87" s="36" t="s">
        <v>19</v>
      </c>
      <c r="C87" s="37">
        <v>25</v>
      </c>
      <c r="D87" s="110">
        <v>28.471</v>
      </c>
      <c r="E87" s="16">
        <v>29.4</v>
      </c>
      <c r="F87" s="16">
        <f t="shared" si="6"/>
        <v>1.1759999999999999</v>
      </c>
      <c r="G87" s="170">
        <f t="shared" si="5"/>
        <v>33.481895999999999</v>
      </c>
      <c r="H87" s="22"/>
    </row>
    <row r="88" spans="1:8" x14ac:dyDescent="0.2">
      <c r="A88" s="36"/>
      <c r="B88" s="36" t="s">
        <v>23</v>
      </c>
      <c r="C88" s="37">
        <v>20</v>
      </c>
      <c r="D88" s="110">
        <v>0.41799999999999998</v>
      </c>
      <c r="E88" s="16">
        <v>23.9</v>
      </c>
      <c r="F88" s="16">
        <f t="shared" si="6"/>
        <v>1.1949999999999998</v>
      </c>
      <c r="G88" s="170">
        <f t="shared" si="5"/>
        <v>0.4995099999999999</v>
      </c>
      <c r="H88" s="22"/>
    </row>
    <row r="89" spans="1:8" x14ac:dyDescent="0.2">
      <c r="A89" s="36"/>
      <c r="B89" s="36" t="s">
        <v>23</v>
      </c>
      <c r="C89" s="37">
        <v>25</v>
      </c>
      <c r="D89" s="110">
        <v>4.1459999999999999</v>
      </c>
      <c r="E89" s="16">
        <v>29.4</v>
      </c>
      <c r="F89" s="16">
        <f t="shared" si="6"/>
        <v>1.1759999999999999</v>
      </c>
      <c r="G89" s="170">
        <f t="shared" si="5"/>
        <v>4.8756959999999996</v>
      </c>
      <c r="H89" s="22"/>
    </row>
    <row r="90" spans="1:8" x14ac:dyDescent="0.2">
      <c r="A90" s="36"/>
      <c r="B90" s="36" t="s">
        <v>44</v>
      </c>
      <c r="C90" s="37">
        <v>25</v>
      </c>
      <c r="D90" s="110">
        <v>6.6539999999999999</v>
      </c>
      <c r="E90" s="16">
        <v>29.4</v>
      </c>
      <c r="F90" s="16">
        <f t="shared" si="6"/>
        <v>1.1759999999999999</v>
      </c>
      <c r="G90" s="170">
        <f t="shared" si="5"/>
        <v>7.8251039999999996</v>
      </c>
      <c r="H90" s="22"/>
    </row>
    <row r="91" spans="1:8" x14ac:dyDescent="0.2">
      <c r="A91" s="36"/>
      <c r="B91" s="36"/>
      <c r="C91" s="37"/>
      <c r="D91" s="135">
        <f>SUM(D84:D90)</f>
        <v>80.486000000000004</v>
      </c>
      <c r="E91" s="16"/>
      <c r="F91" s="22"/>
      <c r="G91" s="170"/>
      <c r="H91" s="22"/>
    </row>
    <row r="92" spans="1:8" x14ac:dyDescent="0.2">
      <c r="A92" s="122" t="s">
        <v>204</v>
      </c>
      <c r="B92" s="53"/>
      <c r="C92" s="54"/>
      <c r="D92" s="137">
        <f>SUM(D8:D10,D13:D19,D22:D25,D28:D31,D34:D46,D49,D52:D72,D75:D81,D84:D90)</f>
        <v>1192.0620000000001</v>
      </c>
      <c r="E92" s="123"/>
      <c r="F92" s="123">
        <f>AVERAGE(F84:F90,F75:F81,F52:F72,F49,F34:F46,F28:F31,F22:F25,F13:F19,F8:F10)</f>
        <v>1.1153084577114423</v>
      </c>
      <c r="G92" s="173">
        <f>SUM(G8:G90)</f>
        <v>1300.8970529999997</v>
      </c>
      <c r="H92" s="120"/>
    </row>
    <row r="93" spans="1:8" x14ac:dyDescent="0.2">
      <c r="C93" s="3"/>
      <c r="D93" s="3"/>
      <c r="E93" s="7"/>
      <c r="F93" s="7"/>
      <c r="H93" s="13"/>
    </row>
    <row r="94" spans="1:8" x14ac:dyDescent="0.2">
      <c r="C94" s="3"/>
      <c r="D94" s="3"/>
      <c r="E94" s="7"/>
      <c r="F94" s="7"/>
      <c r="H94" s="13"/>
    </row>
    <row r="95" spans="1:8" x14ac:dyDescent="0.2">
      <c r="C95" s="3"/>
      <c r="D95" s="10"/>
      <c r="E95" s="7"/>
      <c r="F95" s="7"/>
      <c r="H95" s="13"/>
    </row>
    <row r="96" spans="1:8" x14ac:dyDescent="0.2">
      <c r="C96" s="3"/>
      <c r="D96" s="3"/>
      <c r="E96" s="7"/>
      <c r="F96" s="7"/>
      <c r="H96" s="13"/>
    </row>
    <row r="97" spans="3:8" x14ac:dyDescent="0.2">
      <c r="C97" s="3"/>
      <c r="D97" s="3"/>
      <c r="E97" s="7"/>
      <c r="F97" s="7"/>
      <c r="G97" s="149"/>
      <c r="H97" s="13"/>
    </row>
    <row r="98" spans="3:8" x14ac:dyDescent="0.2">
      <c r="C98" s="3"/>
      <c r="H98" s="13"/>
    </row>
    <row r="99" spans="3:8" x14ac:dyDescent="0.2">
      <c r="C99" s="3"/>
      <c r="H99" s="13"/>
    </row>
    <row r="100" spans="3:8" x14ac:dyDescent="0.2">
      <c r="C100" s="3"/>
      <c r="H100" s="13"/>
    </row>
    <row r="101" spans="3:8" x14ac:dyDescent="0.2">
      <c r="C101" s="3"/>
      <c r="H101" s="13"/>
    </row>
    <row r="102" spans="3:8" x14ac:dyDescent="0.2">
      <c r="C102" s="3"/>
      <c r="H102" s="13"/>
    </row>
    <row r="103" spans="3:8" x14ac:dyDescent="0.2">
      <c r="C103" s="3"/>
      <c r="H103" s="13"/>
    </row>
    <row r="104" spans="3:8" x14ac:dyDescent="0.2">
      <c r="C104" s="3"/>
      <c r="H104" s="13"/>
    </row>
    <row r="105" spans="3:8" x14ac:dyDescent="0.2">
      <c r="C105" s="3"/>
      <c r="H105" s="13"/>
    </row>
    <row r="106" spans="3:8" x14ac:dyDescent="0.2">
      <c r="C106" s="3"/>
      <c r="H106" s="13"/>
    </row>
    <row r="107" spans="3:8" x14ac:dyDescent="0.2">
      <c r="C107" s="3"/>
      <c r="H107" s="13"/>
    </row>
    <row r="108" spans="3:8" x14ac:dyDescent="0.2">
      <c r="C108" s="3"/>
      <c r="H108" s="13"/>
    </row>
    <row r="109" spans="3:8" x14ac:dyDescent="0.2">
      <c r="C109" s="3"/>
      <c r="H109" s="13"/>
    </row>
    <row r="110" spans="3:8" x14ac:dyDescent="0.2">
      <c r="C110" s="3"/>
      <c r="H110" s="13"/>
    </row>
    <row r="111" spans="3:8" x14ac:dyDescent="0.2">
      <c r="C111" s="3"/>
      <c r="H111" s="13"/>
    </row>
    <row r="112" spans="3:8" x14ac:dyDescent="0.2">
      <c r="C112" s="3"/>
      <c r="H112" s="13"/>
    </row>
    <row r="113" spans="3:8" x14ac:dyDescent="0.2">
      <c r="C113" s="3"/>
      <c r="H113" s="13"/>
    </row>
    <row r="114" spans="3:8" x14ac:dyDescent="0.2">
      <c r="C114" s="3"/>
      <c r="H114" s="13"/>
    </row>
    <row r="115" spans="3:8" x14ac:dyDescent="0.2">
      <c r="C115" s="3"/>
      <c r="H115" s="13"/>
    </row>
    <row r="116" spans="3:8" x14ac:dyDescent="0.2">
      <c r="C116" s="3"/>
      <c r="H116" s="13"/>
    </row>
    <row r="117" spans="3:8" x14ac:dyDescent="0.2">
      <c r="C117" s="3"/>
      <c r="H117" s="13"/>
    </row>
    <row r="118" spans="3:8" x14ac:dyDescent="0.2">
      <c r="C118" s="3"/>
      <c r="H118" s="13"/>
    </row>
    <row r="119" spans="3:8" x14ac:dyDescent="0.2">
      <c r="C119" s="3"/>
      <c r="H119" s="13"/>
    </row>
    <row r="120" spans="3:8" x14ac:dyDescent="0.2">
      <c r="C120" s="3"/>
      <c r="H120" s="13"/>
    </row>
    <row r="121" spans="3:8" x14ac:dyDescent="0.2">
      <c r="C121" s="3"/>
      <c r="H121" s="13"/>
    </row>
    <row r="122" spans="3:8" x14ac:dyDescent="0.2">
      <c r="C122" s="3"/>
      <c r="H122" s="13"/>
    </row>
    <row r="123" spans="3:8" x14ac:dyDescent="0.2">
      <c r="C123" s="3"/>
      <c r="H123" s="13"/>
    </row>
    <row r="124" spans="3:8" x14ac:dyDescent="0.2">
      <c r="C124" s="3"/>
      <c r="H124" s="13"/>
    </row>
    <row r="125" spans="3:8" x14ac:dyDescent="0.2">
      <c r="C125" s="3"/>
      <c r="H125" s="13"/>
    </row>
    <row r="126" spans="3:8" x14ac:dyDescent="0.2">
      <c r="C126" s="3"/>
      <c r="H126" s="13"/>
    </row>
    <row r="127" spans="3:8" x14ac:dyDescent="0.2">
      <c r="C127" s="3"/>
      <c r="H127" s="13"/>
    </row>
    <row r="128" spans="3:8" x14ac:dyDescent="0.2">
      <c r="C128" s="3"/>
      <c r="H128" s="13"/>
    </row>
    <row r="129" spans="3:8" x14ac:dyDescent="0.2">
      <c r="C129" s="3"/>
      <c r="H129" s="13"/>
    </row>
    <row r="130" spans="3:8" x14ac:dyDescent="0.2">
      <c r="C130" s="3"/>
      <c r="H130" s="13"/>
    </row>
    <row r="131" spans="3:8" x14ac:dyDescent="0.2">
      <c r="C131" s="3"/>
      <c r="H131" s="13"/>
    </row>
    <row r="132" spans="3:8" x14ac:dyDescent="0.2">
      <c r="C132" s="3"/>
      <c r="H132" s="13"/>
    </row>
    <row r="133" spans="3:8" x14ac:dyDescent="0.2">
      <c r="C133" s="3"/>
      <c r="H133" s="13"/>
    </row>
    <row r="134" spans="3:8" x14ac:dyDescent="0.2">
      <c r="C134" s="3"/>
      <c r="H134" s="13"/>
    </row>
    <row r="135" spans="3:8" x14ac:dyDescent="0.2">
      <c r="C135" s="3"/>
      <c r="H135" s="13"/>
    </row>
    <row r="136" spans="3:8" x14ac:dyDescent="0.2">
      <c r="C136" s="3"/>
      <c r="H136" s="13"/>
    </row>
    <row r="137" spans="3:8" x14ac:dyDescent="0.2">
      <c r="C137" s="3"/>
      <c r="H137" s="13"/>
    </row>
    <row r="138" spans="3:8" x14ac:dyDescent="0.2">
      <c r="C138" s="3"/>
      <c r="H138" s="13"/>
    </row>
    <row r="139" spans="3:8" x14ac:dyDescent="0.2">
      <c r="C139" s="3"/>
      <c r="H139" s="13"/>
    </row>
    <row r="140" spans="3:8" x14ac:dyDescent="0.2">
      <c r="C140" s="3"/>
      <c r="H140" s="13"/>
    </row>
    <row r="141" spans="3:8" x14ac:dyDescent="0.2">
      <c r="C141" s="3"/>
      <c r="H141" s="13"/>
    </row>
    <row r="142" spans="3:8" x14ac:dyDescent="0.2">
      <c r="C142" s="3"/>
      <c r="H142" s="13"/>
    </row>
    <row r="143" spans="3:8" x14ac:dyDescent="0.2">
      <c r="C143" s="3"/>
    </row>
    <row r="144" spans="3:8" x14ac:dyDescent="0.2">
      <c r="C144" s="3"/>
    </row>
    <row r="145" spans="3:3" x14ac:dyDescent="0.2">
      <c r="C145" s="3"/>
    </row>
    <row r="146" spans="3:3" x14ac:dyDescent="0.2">
      <c r="C146" s="3"/>
    </row>
    <row r="147" spans="3:3" x14ac:dyDescent="0.2">
      <c r="C147" s="3"/>
    </row>
    <row r="148" spans="3:3" x14ac:dyDescent="0.2">
      <c r="C148" s="3"/>
    </row>
    <row r="149" spans="3:3" x14ac:dyDescent="0.2">
      <c r="C149" s="3"/>
    </row>
    <row r="150" spans="3:3" x14ac:dyDescent="0.2">
      <c r="C150" s="3"/>
    </row>
    <row r="151" spans="3:3" x14ac:dyDescent="0.2">
      <c r="C151" s="3"/>
    </row>
    <row r="152" spans="3:3" x14ac:dyDescent="0.2">
      <c r="C152" s="3"/>
    </row>
    <row r="153" spans="3:3" x14ac:dyDescent="0.2">
      <c r="C153" s="3"/>
    </row>
    <row r="154" spans="3:3" x14ac:dyDescent="0.2">
      <c r="C154" s="3"/>
    </row>
    <row r="155" spans="3:3" x14ac:dyDescent="0.2">
      <c r="C155" s="3"/>
    </row>
    <row r="156" spans="3:3" x14ac:dyDescent="0.2">
      <c r="C156" s="3"/>
    </row>
    <row r="157" spans="3:3" x14ac:dyDescent="0.2">
      <c r="C157" s="3"/>
    </row>
    <row r="158" spans="3:3" x14ac:dyDescent="0.2">
      <c r="C158" s="3"/>
    </row>
    <row r="159" spans="3:3" x14ac:dyDescent="0.2">
      <c r="C159" s="3"/>
    </row>
    <row r="160" spans="3:3" x14ac:dyDescent="0.2">
      <c r="C160" s="3"/>
    </row>
    <row r="161" spans="3:3" x14ac:dyDescent="0.2">
      <c r="C161" s="3"/>
    </row>
    <row r="162" spans="3:3" x14ac:dyDescent="0.2">
      <c r="C162" s="3"/>
    </row>
    <row r="163" spans="3:3" x14ac:dyDescent="0.2">
      <c r="C163" s="3"/>
    </row>
    <row r="164" spans="3:3" x14ac:dyDescent="0.2">
      <c r="C164" s="3"/>
    </row>
    <row r="165" spans="3:3" x14ac:dyDescent="0.2">
      <c r="C165" s="3"/>
    </row>
    <row r="166" spans="3:3" x14ac:dyDescent="0.2">
      <c r="C166" s="3"/>
    </row>
    <row r="167" spans="3:3" x14ac:dyDescent="0.2">
      <c r="C167" s="3"/>
    </row>
    <row r="168" spans="3:3" x14ac:dyDescent="0.2">
      <c r="C168" s="3"/>
    </row>
    <row r="169" spans="3:3" x14ac:dyDescent="0.2">
      <c r="C169" s="3"/>
    </row>
    <row r="170" spans="3:3" x14ac:dyDescent="0.2">
      <c r="C170" s="3"/>
    </row>
    <row r="171" spans="3:3" x14ac:dyDescent="0.2">
      <c r="C171" s="3"/>
    </row>
    <row r="172" spans="3:3" x14ac:dyDescent="0.2">
      <c r="C172" s="3"/>
    </row>
    <row r="173" spans="3:3" x14ac:dyDescent="0.2">
      <c r="C173" s="3"/>
    </row>
    <row r="174" spans="3:3" x14ac:dyDescent="0.2">
      <c r="C174" s="3"/>
    </row>
    <row r="175" spans="3:3" x14ac:dyDescent="0.2">
      <c r="C175" s="3"/>
    </row>
    <row r="176" spans="3:3" x14ac:dyDescent="0.2">
      <c r="C176" s="3"/>
    </row>
    <row r="177" spans="3:3" x14ac:dyDescent="0.2">
      <c r="C177" s="3"/>
    </row>
    <row r="178" spans="3:3" x14ac:dyDescent="0.2">
      <c r="C178" s="3"/>
    </row>
    <row r="179" spans="3:3" x14ac:dyDescent="0.2">
      <c r="C179" s="3"/>
    </row>
    <row r="180" spans="3:3" x14ac:dyDescent="0.2">
      <c r="C180" s="3"/>
    </row>
    <row r="181" spans="3:3" x14ac:dyDescent="0.2">
      <c r="C181" s="3"/>
    </row>
    <row r="182" spans="3:3" x14ac:dyDescent="0.2">
      <c r="C182" s="3"/>
    </row>
    <row r="183" spans="3:3" x14ac:dyDescent="0.2">
      <c r="C183" s="3"/>
    </row>
    <row r="184" spans="3:3" x14ac:dyDescent="0.2">
      <c r="C184" s="3"/>
    </row>
    <row r="185" spans="3:3" x14ac:dyDescent="0.2">
      <c r="C185" s="3"/>
    </row>
    <row r="186" spans="3:3" x14ac:dyDescent="0.2">
      <c r="C186" s="3"/>
    </row>
    <row r="187" spans="3:3" x14ac:dyDescent="0.2">
      <c r="C187" s="3"/>
    </row>
    <row r="188" spans="3:3" x14ac:dyDescent="0.2">
      <c r="C188" s="3"/>
    </row>
    <row r="189" spans="3:3" x14ac:dyDescent="0.2">
      <c r="C189" s="3"/>
    </row>
    <row r="190" spans="3:3" x14ac:dyDescent="0.2">
      <c r="C190" s="3"/>
    </row>
    <row r="191" spans="3:3" x14ac:dyDescent="0.2">
      <c r="C191" s="3"/>
    </row>
    <row r="192" spans="3:3" x14ac:dyDescent="0.2">
      <c r="C192" s="3"/>
    </row>
    <row r="193" spans="3:3" x14ac:dyDescent="0.2">
      <c r="C193" s="3"/>
    </row>
  </sheetData>
  <pageMargins left="0.70866141732283472" right="0.70866141732283472" top="0.74803149606299213" bottom="0.74803149606299213" header="0.31496062992125984" footer="0.31496062992125984"/>
  <pageSetup paperSize="8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activeCell="H7" sqref="H7"/>
    </sheetView>
  </sheetViews>
  <sheetFormatPr defaultRowHeight="12.75" x14ac:dyDescent="0.2"/>
  <cols>
    <col min="1" max="1" width="21.42578125" customWidth="1"/>
    <col min="2" max="2" width="18.7109375" customWidth="1"/>
    <col min="4" max="4" width="23.5703125" customWidth="1"/>
    <col min="5" max="6" width="15.42578125" customWidth="1"/>
    <col min="7" max="7" width="22.7109375" customWidth="1"/>
    <col min="8" max="8" width="11" customWidth="1"/>
  </cols>
  <sheetData>
    <row r="1" spans="1:9" ht="18" x14ac:dyDescent="0.25">
      <c r="A1" s="185" t="s">
        <v>247</v>
      </c>
    </row>
    <row r="3" spans="1:9" x14ac:dyDescent="0.2">
      <c r="A3" s="42" t="s">
        <v>0</v>
      </c>
      <c r="B3" s="42" t="s">
        <v>1</v>
      </c>
      <c r="C3" s="42" t="s">
        <v>2</v>
      </c>
      <c r="D3" s="43" t="s">
        <v>184</v>
      </c>
      <c r="E3" s="42" t="s">
        <v>185</v>
      </c>
      <c r="F3" s="42" t="s">
        <v>187</v>
      </c>
      <c r="G3" s="42" t="s">
        <v>186</v>
      </c>
      <c r="H3" s="188"/>
    </row>
    <row r="4" spans="1:9" x14ac:dyDescent="0.2">
      <c r="A4" s="42"/>
      <c r="B4" s="42"/>
      <c r="C4" s="42"/>
      <c r="D4" s="97" t="s">
        <v>169</v>
      </c>
      <c r="E4" s="96" t="s">
        <v>276</v>
      </c>
      <c r="F4" s="96" t="s">
        <v>276</v>
      </c>
      <c r="G4" s="96" t="s">
        <v>278</v>
      </c>
    </row>
    <row r="5" spans="1:9" x14ac:dyDescent="0.2">
      <c r="A5" s="42"/>
      <c r="B5" s="42"/>
      <c r="C5" s="42"/>
      <c r="D5" s="97"/>
      <c r="E5" s="96"/>
      <c r="F5" s="96" t="s">
        <v>201</v>
      </c>
      <c r="G5" s="96" t="s">
        <v>202</v>
      </c>
    </row>
    <row r="6" spans="1:9" x14ac:dyDescent="0.2">
      <c r="A6" s="35" t="s">
        <v>45</v>
      </c>
      <c r="B6" s="36"/>
      <c r="C6" s="36"/>
      <c r="D6" s="13"/>
      <c r="E6" s="25"/>
      <c r="F6" s="25"/>
      <c r="G6" s="25"/>
    </row>
    <row r="7" spans="1:9" x14ac:dyDescent="0.2">
      <c r="A7" s="35"/>
      <c r="B7" s="36"/>
      <c r="C7" s="36"/>
      <c r="D7" s="15" t="s">
        <v>46</v>
      </c>
      <c r="E7" s="45"/>
      <c r="F7" s="45"/>
      <c r="G7" s="167"/>
    </row>
    <row r="8" spans="1:9" x14ac:dyDescent="0.2">
      <c r="A8" s="36" t="s">
        <v>46</v>
      </c>
      <c r="B8" s="36" t="s">
        <v>47</v>
      </c>
      <c r="C8" s="37">
        <v>20</v>
      </c>
      <c r="D8" s="138">
        <v>2.573</v>
      </c>
      <c r="E8" s="16">
        <v>24</v>
      </c>
      <c r="F8" s="16">
        <f>E8/C8</f>
        <v>1.2</v>
      </c>
      <c r="G8" s="175">
        <f>D8*F8</f>
        <v>3.0875999999999997</v>
      </c>
    </row>
    <row r="9" spans="1:9" x14ac:dyDescent="0.2">
      <c r="A9" s="36"/>
      <c r="B9" s="36"/>
      <c r="C9" s="37"/>
      <c r="D9" s="140">
        <f>SUM(D8)</f>
        <v>2.573</v>
      </c>
      <c r="E9" s="16"/>
      <c r="F9" s="16"/>
      <c r="G9" s="175"/>
    </row>
    <row r="10" spans="1:9" x14ac:dyDescent="0.2">
      <c r="A10" s="40"/>
      <c r="B10" s="40"/>
      <c r="C10" s="41"/>
      <c r="D10" s="20" t="s">
        <v>48</v>
      </c>
      <c r="E10" s="30"/>
      <c r="F10" s="21"/>
      <c r="G10" s="176"/>
    </row>
    <row r="11" spans="1:9" x14ac:dyDescent="0.2">
      <c r="A11" s="36" t="s">
        <v>48</v>
      </c>
      <c r="B11" s="36" t="s">
        <v>47</v>
      </c>
      <c r="C11" s="37">
        <v>21</v>
      </c>
      <c r="D11" s="138">
        <v>10.864000000000001</v>
      </c>
      <c r="E11" s="16">
        <v>22.9</v>
      </c>
      <c r="F11" s="16">
        <f t="shared" ref="F11:F56" si="0">E11/C11</f>
        <v>1.0904761904761904</v>
      </c>
      <c r="G11" s="175">
        <f t="shared" ref="G11:G22" si="1">D11*F11</f>
        <v>11.846933333333332</v>
      </c>
      <c r="I11" s="151"/>
    </row>
    <row r="12" spans="1:9" x14ac:dyDescent="0.2">
      <c r="A12" s="36"/>
      <c r="B12" s="36" t="s">
        <v>47</v>
      </c>
      <c r="C12" s="37">
        <v>25</v>
      </c>
      <c r="D12" s="138">
        <v>2.0510000000000002</v>
      </c>
      <c r="E12" s="16">
        <v>28.3</v>
      </c>
      <c r="F12" s="16">
        <f t="shared" si="0"/>
        <v>1.1320000000000001</v>
      </c>
      <c r="G12" s="175">
        <f t="shared" si="1"/>
        <v>2.3217320000000004</v>
      </c>
      <c r="I12" s="152"/>
    </row>
    <row r="13" spans="1:9" x14ac:dyDescent="0.2">
      <c r="A13" s="36"/>
      <c r="B13" s="36" t="s">
        <v>47</v>
      </c>
      <c r="C13" s="37">
        <v>30</v>
      </c>
      <c r="D13" s="138">
        <v>8.32</v>
      </c>
      <c r="E13" s="16">
        <v>33.799999999999997</v>
      </c>
      <c r="F13" s="16">
        <f t="shared" si="0"/>
        <v>1.1266666666666665</v>
      </c>
      <c r="G13" s="175">
        <f t="shared" si="1"/>
        <v>9.3738666666666663</v>
      </c>
    </row>
    <row r="14" spans="1:9" x14ac:dyDescent="0.2">
      <c r="A14" s="36"/>
      <c r="B14" s="36" t="s">
        <v>47</v>
      </c>
      <c r="C14" s="37">
        <v>40</v>
      </c>
      <c r="D14" s="138">
        <v>5.0220000000000002</v>
      </c>
      <c r="E14" s="16">
        <v>43</v>
      </c>
      <c r="F14" s="16">
        <f t="shared" si="0"/>
        <v>1.075</v>
      </c>
      <c r="G14" s="175">
        <f t="shared" si="1"/>
        <v>5.3986499999999999</v>
      </c>
    </row>
    <row r="15" spans="1:9" x14ac:dyDescent="0.2">
      <c r="A15" s="36"/>
      <c r="B15" s="36" t="s">
        <v>49</v>
      </c>
      <c r="C15" s="37">
        <v>21</v>
      </c>
      <c r="D15" s="138">
        <v>4.7480000000000002</v>
      </c>
      <c r="E15" s="16">
        <v>22.9</v>
      </c>
      <c r="F15" s="16">
        <f t="shared" si="0"/>
        <v>1.0904761904761904</v>
      </c>
      <c r="G15" s="175">
        <f t="shared" si="1"/>
        <v>5.1775809523809517</v>
      </c>
    </row>
    <row r="16" spans="1:9" x14ac:dyDescent="0.2">
      <c r="A16" s="36"/>
      <c r="B16" s="36" t="s">
        <v>49</v>
      </c>
      <c r="C16" s="37">
        <v>25</v>
      </c>
      <c r="D16" s="138">
        <v>1.3560000000000001</v>
      </c>
      <c r="E16" s="16">
        <v>28.3</v>
      </c>
      <c r="F16" s="16">
        <f t="shared" si="0"/>
        <v>1.1320000000000001</v>
      </c>
      <c r="G16" s="175">
        <f t="shared" si="1"/>
        <v>1.5349920000000004</v>
      </c>
    </row>
    <row r="17" spans="1:7" x14ac:dyDescent="0.2">
      <c r="A17" s="36"/>
      <c r="B17" s="36" t="s">
        <v>49</v>
      </c>
      <c r="C17" s="37">
        <v>30</v>
      </c>
      <c r="D17" s="138">
        <v>6.681</v>
      </c>
      <c r="E17" s="16">
        <v>33.799999999999997</v>
      </c>
      <c r="F17" s="16">
        <f t="shared" si="0"/>
        <v>1.1266666666666665</v>
      </c>
      <c r="G17" s="175">
        <f t="shared" si="1"/>
        <v>7.5272599999999992</v>
      </c>
    </row>
    <row r="18" spans="1:7" x14ac:dyDescent="0.2">
      <c r="A18" s="36"/>
      <c r="B18" s="36" t="s">
        <v>49</v>
      </c>
      <c r="C18" s="37">
        <v>40</v>
      </c>
      <c r="D18" s="138">
        <v>2.1890000000000001</v>
      </c>
      <c r="E18" s="16">
        <v>43</v>
      </c>
      <c r="F18" s="16">
        <f t="shared" si="0"/>
        <v>1.075</v>
      </c>
      <c r="G18" s="175">
        <f t="shared" si="1"/>
        <v>2.3531749999999998</v>
      </c>
    </row>
    <row r="19" spans="1:7" x14ac:dyDescent="0.2">
      <c r="A19" s="36"/>
      <c r="B19" s="36" t="s">
        <v>50</v>
      </c>
      <c r="C19" s="37">
        <v>21</v>
      </c>
      <c r="D19" s="138">
        <v>4.851</v>
      </c>
      <c r="E19" s="16">
        <v>22.9</v>
      </c>
      <c r="F19" s="16">
        <f t="shared" si="0"/>
        <v>1.0904761904761904</v>
      </c>
      <c r="G19" s="175">
        <f t="shared" si="1"/>
        <v>5.2898999999999994</v>
      </c>
    </row>
    <row r="20" spans="1:7" x14ac:dyDescent="0.2">
      <c r="A20" s="36"/>
      <c r="B20" s="36" t="s">
        <v>50</v>
      </c>
      <c r="C20" s="37">
        <v>25</v>
      </c>
      <c r="D20" s="138">
        <v>0.85499999999999998</v>
      </c>
      <c r="E20" s="16">
        <v>28.3</v>
      </c>
      <c r="F20" s="16">
        <f t="shared" si="0"/>
        <v>1.1320000000000001</v>
      </c>
      <c r="G20" s="175">
        <f t="shared" si="1"/>
        <v>0.96786000000000005</v>
      </c>
    </row>
    <row r="21" spans="1:7" x14ac:dyDescent="0.2">
      <c r="A21" s="36"/>
      <c r="B21" s="36" t="s">
        <v>51</v>
      </c>
      <c r="C21" s="37">
        <v>30</v>
      </c>
      <c r="D21" s="138">
        <v>6.2930000000000001</v>
      </c>
      <c r="E21" s="16">
        <v>33.799999999999997</v>
      </c>
      <c r="F21" s="16">
        <f t="shared" si="0"/>
        <v>1.1266666666666665</v>
      </c>
      <c r="G21" s="175">
        <f t="shared" si="1"/>
        <v>7.0901133333333322</v>
      </c>
    </row>
    <row r="22" spans="1:7" x14ac:dyDescent="0.2">
      <c r="A22" s="36"/>
      <c r="B22" s="36" t="s">
        <v>50</v>
      </c>
      <c r="C22" s="37">
        <v>40</v>
      </c>
      <c r="D22" s="138">
        <v>1.665</v>
      </c>
      <c r="E22" s="16">
        <v>43</v>
      </c>
      <c r="F22" s="16">
        <f t="shared" si="0"/>
        <v>1.075</v>
      </c>
      <c r="G22" s="175">
        <f t="shared" si="1"/>
        <v>1.7898749999999999</v>
      </c>
    </row>
    <row r="23" spans="1:7" x14ac:dyDescent="0.2">
      <c r="A23" s="36"/>
      <c r="B23" s="36"/>
      <c r="C23" s="37"/>
      <c r="D23" s="140">
        <f>SUM(D11:D22)</f>
        <v>54.894999999999989</v>
      </c>
      <c r="E23" s="16"/>
      <c r="F23" s="16"/>
      <c r="G23" s="16"/>
    </row>
    <row r="24" spans="1:7" x14ac:dyDescent="0.2">
      <c r="A24" s="40"/>
      <c r="B24" s="40"/>
      <c r="C24" s="41"/>
      <c r="D24" s="20" t="s">
        <v>52</v>
      </c>
      <c r="E24" s="30"/>
      <c r="F24" s="21"/>
      <c r="G24" s="21"/>
    </row>
    <row r="25" spans="1:7" x14ac:dyDescent="0.2">
      <c r="A25" s="36" t="s">
        <v>52</v>
      </c>
      <c r="B25" s="36" t="s">
        <v>53</v>
      </c>
      <c r="C25" s="37">
        <v>20</v>
      </c>
      <c r="D25" s="107">
        <v>3.3000000000000002E-2</v>
      </c>
      <c r="E25" s="16">
        <v>22</v>
      </c>
      <c r="F25" s="16">
        <f t="shared" si="0"/>
        <v>1.1000000000000001</v>
      </c>
      <c r="G25" s="175">
        <f t="shared" ref="G25:G56" si="2">D25*F25</f>
        <v>3.6300000000000006E-2</v>
      </c>
    </row>
    <row r="26" spans="1:7" x14ac:dyDescent="0.2">
      <c r="A26" s="36"/>
      <c r="B26" s="36" t="s">
        <v>22</v>
      </c>
      <c r="C26" s="37">
        <v>21</v>
      </c>
      <c r="D26" s="107">
        <v>13.016999999999999</v>
      </c>
      <c r="E26" s="16">
        <v>21</v>
      </c>
      <c r="F26" s="16">
        <f t="shared" si="0"/>
        <v>1</v>
      </c>
      <c r="G26" s="175">
        <f t="shared" si="2"/>
        <v>13.016999999999999</v>
      </c>
    </row>
    <row r="27" spans="1:7" x14ac:dyDescent="0.2">
      <c r="A27" s="36"/>
      <c r="B27" s="36" t="s">
        <v>22</v>
      </c>
      <c r="C27" s="37">
        <v>26</v>
      </c>
      <c r="D27" s="107">
        <v>1.4830000000000001</v>
      </c>
      <c r="E27" s="16">
        <v>26</v>
      </c>
      <c r="F27" s="16">
        <f t="shared" si="0"/>
        <v>1</v>
      </c>
      <c r="G27" s="175">
        <f t="shared" si="2"/>
        <v>1.4830000000000001</v>
      </c>
    </row>
    <row r="28" spans="1:7" x14ac:dyDescent="0.2">
      <c r="A28" s="36"/>
      <c r="B28" s="36" t="s">
        <v>22</v>
      </c>
      <c r="C28" s="37">
        <v>30</v>
      </c>
      <c r="D28" s="107">
        <v>3.1819999999999999</v>
      </c>
      <c r="E28" s="16">
        <v>30.5</v>
      </c>
      <c r="F28" s="16">
        <f t="shared" si="0"/>
        <v>1.0166666666666666</v>
      </c>
      <c r="G28" s="175">
        <f t="shared" si="2"/>
        <v>3.235033333333333</v>
      </c>
    </row>
    <row r="29" spans="1:7" x14ac:dyDescent="0.2">
      <c r="A29" s="36"/>
      <c r="B29" s="36" t="s">
        <v>22</v>
      </c>
      <c r="C29" s="37">
        <v>40</v>
      </c>
      <c r="D29" s="107">
        <v>2.202</v>
      </c>
      <c r="E29" s="16">
        <v>40</v>
      </c>
      <c r="F29" s="16">
        <f t="shared" si="0"/>
        <v>1</v>
      </c>
      <c r="G29" s="175">
        <f t="shared" si="2"/>
        <v>2.202</v>
      </c>
    </row>
    <row r="30" spans="1:7" x14ac:dyDescent="0.2">
      <c r="A30" s="36"/>
      <c r="B30" s="36" t="s">
        <v>57</v>
      </c>
      <c r="C30" s="37">
        <v>20</v>
      </c>
      <c r="D30" s="107">
        <v>6.2309999999999999</v>
      </c>
      <c r="E30" s="16">
        <v>20.399999999999999</v>
      </c>
      <c r="F30" s="16">
        <f t="shared" si="0"/>
        <v>1.02</v>
      </c>
      <c r="G30" s="175">
        <f t="shared" si="2"/>
        <v>6.35562</v>
      </c>
    </row>
    <row r="31" spans="1:7" x14ac:dyDescent="0.2">
      <c r="A31" s="36"/>
      <c r="B31" s="36" t="s">
        <v>55</v>
      </c>
      <c r="C31" s="37">
        <v>20</v>
      </c>
      <c r="D31" s="107">
        <v>2.9550000000000001</v>
      </c>
      <c r="E31" s="16">
        <v>20.399999999999999</v>
      </c>
      <c r="F31" s="16">
        <f t="shared" si="0"/>
        <v>1.02</v>
      </c>
      <c r="G31" s="175">
        <f t="shared" si="2"/>
        <v>3.0141</v>
      </c>
    </row>
    <row r="32" spans="1:7" x14ac:dyDescent="0.2">
      <c r="A32" s="36"/>
      <c r="B32" s="36" t="s">
        <v>56</v>
      </c>
      <c r="C32" s="37">
        <v>20</v>
      </c>
      <c r="D32" s="107">
        <v>44.54</v>
      </c>
      <c r="E32" s="16">
        <v>20.399999999999999</v>
      </c>
      <c r="F32" s="16">
        <f t="shared" si="0"/>
        <v>1.02</v>
      </c>
      <c r="G32" s="175">
        <f t="shared" si="2"/>
        <v>45.430799999999998</v>
      </c>
    </row>
    <row r="33" spans="1:7" x14ac:dyDescent="0.2">
      <c r="A33" s="36"/>
      <c r="B33" s="36" t="s">
        <v>54</v>
      </c>
      <c r="C33" s="37">
        <v>21</v>
      </c>
      <c r="D33" s="107">
        <v>3.548</v>
      </c>
      <c r="E33" s="16">
        <v>21</v>
      </c>
      <c r="F33" s="16">
        <f t="shared" si="0"/>
        <v>1</v>
      </c>
      <c r="G33" s="175">
        <f t="shared" si="2"/>
        <v>3.548</v>
      </c>
    </row>
    <row r="34" spans="1:7" x14ac:dyDescent="0.2">
      <c r="A34" s="36"/>
      <c r="B34" s="36" t="s">
        <v>54</v>
      </c>
      <c r="C34" s="37">
        <v>26</v>
      </c>
      <c r="D34" s="107">
        <v>0.82</v>
      </c>
      <c r="E34" s="16">
        <v>26</v>
      </c>
      <c r="F34" s="16">
        <f t="shared" si="0"/>
        <v>1</v>
      </c>
      <c r="G34" s="175">
        <f t="shared" si="2"/>
        <v>0.82</v>
      </c>
    </row>
    <row r="35" spans="1:7" x14ac:dyDescent="0.2">
      <c r="A35" s="36"/>
      <c r="B35" s="36" t="s">
        <v>54</v>
      </c>
      <c r="C35" s="37">
        <v>30</v>
      </c>
      <c r="D35" s="107">
        <v>1.7050000000000001</v>
      </c>
      <c r="E35" s="16">
        <v>30.5</v>
      </c>
      <c r="F35" s="16">
        <f t="shared" si="0"/>
        <v>1.0166666666666666</v>
      </c>
      <c r="G35" s="175">
        <f t="shared" si="2"/>
        <v>1.7334166666666666</v>
      </c>
    </row>
    <row r="36" spans="1:7" x14ac:dyDescent="0.2">
      <c r="A36" s="36"/>
      <c r="B36" s="36" t="s">
        <v>54</v>
      </c>
      <c r="C36" s="37">
        <v>40</v>
      </c>
      <c r="D36" s="107">
        <v>1.5409999999999999</v>
      </c>
      <c r="E36" s="16">
        <v>40</v>
      </c>
      <c r="F36" s="16">
        <f t="shared" si="0"/>
        <v>1</v>
      </c>
      <c r="G36" s="175">
        <f t="shared" si="2"/>
        <v>1.5409999999999999</v>
      </c>
    </row>
    <row r="37" spans="1:7" x14ac:dyDescent="0.2">
      <c r="A37" s="36"/>
      <c r="B37" s="36" t="s">
        <v>19</v>
      </c>
      <c r="C37" s="37">
        <v>21</v>
      </c>
      <c r="D37" s="107">
        <v>33.783000000000001</v>
      </c>
      <c r="E37" s="16">
        <v>21</v>
      </c>
      <c r="F37" s="16">
        <f t="shared" si="0"/>
        <v>1</v>
      </c>
      <c r="G37" s="175">
        <f t="shared" si="2"/>
        <v>33.783000000000001</v>
      </c>
    </row>
    <row r="38" spans="1:7" x14ac:dyDescent="0.2">
      <c r="A38" s="36"/>
      <c r="B38" s="36" t="s">
        <v>19</v>
      </c>
      <c r="C38" s="37">
        <v>26</v>
      </c>
      <c r="D38" s="107">
        <v>17.259</v>
      </c>
      <c r="E38" s="16">
        <v>26</v>
      </c>
      <c r="F38" s="16">
        <f t="shared" si="0"/>
        <v>1</v>
      </c>
      <c r="G38" s="175">
        <f t="shared" si="2"/>
        <v>17.259</v>
      </c>
    </row>
    <row r="39" spans="1:7" x14ac:dyDescent="0.2">
      <c r="A39" s="36"/>
      <c r="B39" s="36" t="s">
        <v>19</v>
      </c>
      <c r="C39" s="37">
        <v>30</v>
      </c>
      <c r="D39" s="107">
        <v>19.385999999999999</v>
      </c>
      <c r="E39" s="16">
        <v>30.5</v>
      </c>
      <c r="F39" s="16">
        <f t="shared" si="0"/>
        <v>1.0166666666666666</v>
      </c>
      <c r="G39" s="175">
        <f t="shared" si="2"/>
        <v>19.709099999999999</v>
      </c>
    </row>
    <row r="40" spans="1:7" x14ac:dyDescent="0.2">
      <c r="A40" s="36"/>
      <c r="B40" s="36" t="s">
        <v>19</v>
      </c>
      <c r="C40" s="37">
        <v>40</v>
      </c>
      <c r="D40" s="107">
        <v>9.0310000000000006</v>
      </c>
      <c r="E40" s="16">
        <v>40</v>
      </c>
      <c r="F40" s="16">
        <f t="shared" si="0"/>
        <v>1</v>
      </c>
      <c r="G40" s="175">
        <f t="shared" si="2"/>
        <v>9.0310000000000006</v>
      </c>
    </row>
    <row r="41" spans="1:7" x14ac:dyDescent="0.2">
      <c r="A41" s="36"/>
      <c r="B41" s="36" t="s">
        <v>60</v>
      </c>
      <c r="C41" s="37">
        <v>20</v>
      </c>
      <c r="D41" s="107">
        <v>4.1000000000000002E-2</v>
      </c>
      <c r="E41" s="16">
        <v>21.6</v>
      </c>
      <c r="F41" s="16">
        <f t="shared" si="0"/>
        <v>1.08</v>
      </c>
      <c r="G41" s="175">
        <f t="shared" si="2"/>
        <v>4.4280000000000007E-2</v>
      </c>
    </row>
    <row r="42" spans="1:7" x14ac:dyDescent="0.2">
      <c r="A42" s="36"/>
      <c r="B42" s="36" t="s">
        <v>58</v>
      </c>
      <c r="C42" s="37">
        <v>20</v>
      </c>
      <c r="D42" s="107">
        <v>5.6000000000000001E-2</v>
      </c>
      <c r="E42" s="16">
        <v>21.6</v>
      </c>
      <c r="F42" s="16">
        <f t="shared" si="0"/>
        <v>1.08</v>
      </c>
      <c r="G42" s="175">
        <f t="shared" si="2"/>
        <v>6.0480000000000006E-2</v>
      </c>
    </row>
    <row r="43" spans="1:7" x14ac:dyDescent="0.2">
      <c r="A43" s="36"/>
      <c r="B43" s="36" t="s">
        <v>59</v>
      </c>
      <c r="C43" s="37">
        <v>20</v>
      </c>
      <c r="D43" s="107">
        <v>2.395</v>
      </c>
      <c r="E43" s="16">
        <v>21.6</v>
      </c>
      <c r="F43" s="16">
        <f t="shared" si="0"/>
        <v>1.08</v>
      </c>
      <c r="G43" s="175">
        <f t="shared" si="2"/>
        <v>2.5866000000000002</v>
      </c>
    </row>
    <row r="44" spans="1:7" x14ac:dyDescent="0.2">
      <c r="A44" s="36"/>
      <c r="B44" s="36"/>
      <c r="C44" s="37"/>
      <c r="D44" s="141">
        <f>SUM(D25:D43)</f>
        <v>163.208</v>
      </c>
      <c r="E44" s="16"/>
      <c r="F44" s="16"/>
      <c r="G44" s="16"/>
    </row>
    <row r="45" spans="1:7" x14ac:dyDescent="0.2">
      <c r="A45" s="40"/>
      <c r="B45" s="40"/>
      <c r="C45" s="41"/>
      <c r="D45" s="20" t="s">
        <v>61</v>
      </c>
      <c r="E45" s="30"/>
      <c r="F45" s="21"/>
      <c r="G45" s="21"/>
    </row>
    <row r="46" spans="1:7" x14ac:dyDescent="0.2">
      <c r="A46" s="36" t="s">
        <v>61</v>
      </c>
      <c r="B46" s="36" t="s">
        <v>10</v>
      </c>
      <c r="C46" s="37">
        <v>20</v>
      </c>
      <c r="D46" s="138">
        <v>7.6820000000000004</v>
      </c>
      <c r="E46" s="16">
        <v>23.9</v>
      </c>
      <c r="F46" s="16">
        <f t="shared" si="0"/>
        <v>1.1949999999999998</v>
      </c>
      <c r="G46" s="175">
        <f t="shared" si="2"/>
        <v>9.1799900000000001</v>
      </c>
    </row>
    <row r="47" spans="1:7" x14ac:dyDescent="0.2">
      <c r="A47" s="36"/>
      <c r="B47" s="36" t="s">
        <v>10</v>
      </c>
      <c r="C47" s="37">
        <v>25</v>
      </c>
      <c r="D47" s="138">
        <v>1.2869999999999999</v>
      </c>
      <c r="E47" s="16">
        <v>29.9</v>
      </c>
      <c r="F47" s="16">
        <f t="shared" si="0"/>
        <v>1.196</v>
      </c>
      <c r="G47" s="175">
        <f t="shared" si="2"/>
        <v>1.5392519999999998</v>
      </c>
    </row>
    <row r="48" spans="1:7" x14ac:dyDescent="0.2">
      <c r="A48" s="36"/>
      <c r="B48" s="36" t="s">
        <v>47</v>
      </c>
      <c r="C48" s="37">
        <v>20</v>
      </c>
      <c r="D48" s="138">
        <v>2.4359999999999999</v>
      </c>
      <c r="E48" s="16">
        <v>23.9</v>
      </c>
      <c r="F48" s="16">
        <f t="shared" si="0"/>
        <v>1.1949999999999998</v>
      </c>
      <c r="G48" s="175">
        <f t="shared" si="2"/>
        <v>2.9110199999999997</v>
      </c>
    </row>
    <row r="49" spans="1:7" x14ac:dyDescent="0.2">
      <c r="A49" s="36"/>
      <c r="B49" s="36" t="s">
        <v>47</v>
      </c>
      <c r="C49" s="37">
        <v>25</v>
      </c>
      <c r="D49" s="138">
        <v>1.2010000000000001</v>
      </c>
      <c r="E49" s="16">
        <v>29.9</v>
      </c>
      <c r="F49" s="16">
        <f t="shared" si="0"/>
        <v>1.196</v>
      </c>
      <c r="G49" s="175">
        <f t="shared" si="2"/>
        <v>1.436396</v>
      </c>
    </row>
    <row r="50" spans="1:7" x14ac:dyDescent="0.2">
      <c r="A50" s="36"/>
      <c r="B50" s="36" t="s">
        <v>62</v>
      </c>
      <c r="C50" s="37">
        <v>20</v>
      </c>
      <c r="D50" s="138">
        <v>0.49299999999999999</v>
      </c>
      <c r="E50" s="16">
        <v>23.9</v>
      </c>
      <c r="F50" s="16">
        <f t="shared" si="0"/>
        <v>1.1949999999999998</v>
      </c>
      <c r="G50" s="175">
        <f t="shared" si="2"/>
        <v>0.58913499999999996</v>
      </c>
    </row>
    <row r="51" spans="1:7" x14ac:dyDescent="0.2">
      <c r="A51" s="36"/>
      <c r="B51" s="36"/>
      <c r="C51" s="37"/>
      <c r="D51" s="140">
        <f>SUM(D46:D50)</f>
        <v>13.099000000000002</v>
      </c>
      <c r="E51" s="16"/>
      <c r="F51" s="16"/>
      <c r="G51" s="16"/>
    </row>
    <row r="52" spans="1:7" x14ac:dyDescent="0.2">
      <c r="A52" s="40"/>
      <c r="B52" s="40"/>
      <c r="C52" s="41"/>
      <c r="D52" s="20" t="s">
        <v>63</v>
      </c>
      <c r="E52" s="30"/>
      <c r="F52" s="21"/>
      <c r="G52" s="21"/>
    </row>
    <row r="53" spans="1:7" x14ac:dyDescent="0.2">
      <c r="A53" s="36" t="s">
        <v>63</v>
      </c>
      <c r="B53" s="36" t="s">
        <v>22</v>
      </c>
      <c r="C53" s="37">
        <v>20</v>
      </c>
      <c r="D53" s="138">
        <v>2.754</v>
      </c>
      <c r="E53" s="16">
        <v>20</v>
      </c>
      <c r="F53" s="16">
        <f t="shared" si="0"/>
        <v>1</v>
      </c>
      <c r="G53" s="175">
        <f t="shared" si="2"/>
        <v>2.754</v>
      </c>
    </row>
    <row r="54" spans="1:7" x14ac:dyDescent="0.2">
      <c r="A54" s="36"/>
      <c r="B54" s="36" t="s">
        <v>50</v>
      </c>
      <c r="C54" s="37">
        <v>20</v>
      </c>
      <c r="D54" s="138">
        <v>3.536</v>
      </c>
      <c r="E54" s="16">
        <v>20</v>
      </c>
      <c r="F54" s="16">
        <f t="shared" si="0"/>
        <v>1</v>
      </c>
      <c r="G54" s="175">
        <f t="shared" si="2"/>
        <v>3.536</v>
      </c>
    </row>
    <row r="55" spans="1:7" x14ac:dyDescent="0.2">
      <c r="A55" s="36"/>
      <c r="B55" s="36" t="s">
        <v>19</v>
      </c>
      <c r="C55" s="37">
        <v>20</v>
      </c>
      <c r="D55" s="138">
        <v>64.554000000000002</v>
      </c>
      <c r="E55" s="16">
        <v>20</v>
      </c>
      <c r="F55" s="16">
        <f t="shared" si="0"/>
        <v>1</v>
      </c>
      <c r="G55" s="175">
        <f t="shared" si="2"/>
        <v>64.554000000000002</v>
      </c>
    </row>
    <row r="56" spans="1:7" x14ac:dyDescent="0.2">
      <c r="A56" s="36"/>
      <c r="B56" s="36" t="s">
        <v>19</v>
      </c>
      <c r="C56" s="37">
        <v>30</v>
      </c>
      <c r="D56" s="138">
        <v>37.609000000000002</v>
      </c>
      <c r="E56" s="16">
        <v>30</v>
      </c>
      <c r="F56" s="16">
        <f t="shared" si="0"/>
        <v>1</v>
      </c>
      <c r="G56" s="175">
        <f t="shared" si="2"/>
        <v>37.609000000000002</v>
      </c>
    </row>
    <row r="57" spans="1:7" x14ac:dyDescent="0.2">
      <c r="A57" s="36"/>
      <c r="B57" s="36"/>
      <c r="C57" s="37"/>
      <c r="D57" s="140">
        <f>SUM(D53:D56)</f>
        <v>108.453</v>
      </c>
      <c r="E57" s="16"/>
      <c r="F57" s="16"/>
      <c r="G57" s="16"/>
    </row>
    <row r="58" spans="1:7" x14ac:dyDescent="0.2">
      <c r="A58" s="122" t="s">
        <v>156</v>
      </c>
      <c r="B58" s="122"/>
      <c r="C58" s="122"/>
      <c r="D58" s="142">
        <f>SUM(D8,D11:D22,D25:D43,D46:D50,D53:D56)</f>
        <v>342.22800000000001</v>
      </c>
      <c r="E58" s="123"/>
      <c r="F58" s="123">
        <f>AVERAGE(F8,F11:F22,F25:F43,F46:F50,F53:F56)</f>
        <v>1.0707177700348429</v>
      </c>
      <c r="G58" s="177">
        <f>SUM(G8:G56)</f>
        <v>352.75806128571429</v>
      </c>
    </row>
    <row r="59" spans="1:7" x14ac:dyDescent="0.2">
      <c r="D59" s="3"/>
      <c r="E59" s="6"/>
      <c r="F59" s="6"/>
      <c r="G59" s="6"/>
    </row>
    <row r="60" spans="1:7" x14ac:dyDescent="0.2">
      <c r="C60" s="3"/>
      <c r="D60" s="3"/>
      <c r="E60" s="6"/>
      <c r="F60" s="6"/>
      <c r="G60" s="6"/>
    </row>
    <row r="61" spans="1:7" x14ac:dyDescent="0.2">
      <c r="C61" s="3"/>
      <c r="D61" s="3"/>
      <c r="E61" s="3"/>
      <c r="F61" s="3"/>
      <c r="G61" s="3"/>
    </row>
    <row r="62" spans="1:7" x14ac:dyDescent="0.2">
      <c r="C62" s="3"/>
      <c r="D62" s="3"/>
      <c r="E62" s="3"/>
      <c r="F62" s="3"/>
      <c r="G62" s="3"/>
    </row>
    <row r="63" spans="1:7" x14ac:dyDescent="0.2">
      <c r="C63" s="3"/>
      <c r="D63" s="3"/>
      <c r="E63" s="3"/>
      <c r="F63" s="3"/>
      <c r="G63" s="3"/>
    </row>
    <row r="64" spans="1:7" x14ac:dyDescent="0.2">
      <c r="C64" s="3"/>
      <c r="D64" s="3"/>
      <c r="E64" s="3"/>
      <c r="F64" s="3"/>
      <c r="G64" s="3"/>
    </row>
    <row r="65" spans="3:7" x14ac:dyDescent="0.2">
      <c r="C65" s="3"/>
      <c r="D65" s="3"/>
      <c r="E65" s="3"/>
      <c r="F65" s="3"/>
      <c r="G65" s="3"/>
    </row>
    <row r="66" spans="3:7" x14ac:dyDescent="0.2">
      <c r="C66" s="3"/>
      <c r="D66" s="3"/>
      <c r="E66" s="3"/>
      <c r="F66" s="3"/>
      <c r="G66" s="3"/>
    </row>
    <row r="67" spans="3:7" x14ac:dyDescent="0.2">
      <c r="C67" s="3"/>
      <c r="D67" s="3"/>
      <c r="E67" s="3"/>
      <c r="F67" s="3"/>
      <c r="G67" s="3"/>
    </row>
  </sheetData>
  <pageMargins left="0.70866141732283472" right="0.70866141732283472" top="0.74803149606299213" bottom="0.74803149606299213" header="0.31496062992125984" footer="0.31496062992125984"/>
  <pageSetup paperSize="8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selection activeCell="J30" sqref="J30"/>
    </sheetView>
  </sheetViews>
  <sheetFormatPr defaultRowHeight="12.75" x14ac:dyDescent="0.2"/>
  <cols>
    <col min="1" max="1" width="19.5703125" customWidth="1"/>
    <col min="2" max="2" width="16.5703125" customWidth="1"/>
    <col min="4" max="4" width="22" customWidth="1"/>
    <col min="5" max="6" width="20.140625" customWidth="1"/>
    <col min="7" max="7" width="25.28515625" customWidth="1"/>
    <col min="8" max="8" width="10.5703125" customWidth="1"/>
  </cols>
  <sheetData>
    <row r="1" spans="1:8" ht="18" x14ac:dyDescent="0.25">
      <c r="A1" s="185" t="s">
        <v>248</v>
      </c>
    </row>
    <row r="3" spans="1:8" x14ac:dyDescent="0.2">
      <c r="A3" s="42" t="s">
        <v>0</v>
      </c>
      <c r="B3" s="42" t="s">
        <v>1</v>
      </c>
      <c r="C3" s="42" t="s">
        <v>2</v>
      </c>
      <c r="D3" s="43" t="s">
        <v>184</v>
      </c>
      <c r="E3" s="42" t="s">
        <v>185</v>
      </c>
      <c r="F3" s="42" t="s">
        <v>187</v>
      </c>
      <c r="G3" s="96" t="s">
        <v>186</v>
      </c>
      <c r="H3" s="109"/>
    </row>
    <row r="4" spans="1:8" x14ac:dyDescent="0.2">
      <c r="A4" s="42"/>
      <c r="B4" s="42"/>
      <c r="C4" s="42"/>
      <c r="D4" s="97" t="s">
        <v>169</v>
      </c>
      <c r="E4" s="96" t="s">
        <v>276</v>
      </c>
      <c r="F4" s="96" t="s">
        <v>276</v>
      </c>
      <c r="G4" s="96" t="s">
        <v>278</v>
      </c>
      <c r="H4" s="109"/>
    </row>
    <row r="5" spans="1:8" x14ac:dyDescent="0.2">
      <c r="A5" s="42"/>
      <c r="B5" s="42"/>
      <c r="C5" s="42"/>
      <c r="D5" s="97"/>
      <c r="E5" s="96"/>
      <c r="F5" s="96" t="s">
        <v>201</v>
      </c>
      <c r="G5" s="96" t="s">
        <v>202</v>
      </c>
      <c r="H5" s="109"/>
    </row>
    <row r="6" spans="1:8" x14ac:dyDescent="0.2">
      <c r="A6" s="32" t="s">
        <v>64</v>
      </c>
      <c r="B6" s="33"/>
      <c r="C6" s="33"/>
      <c r="E6" s="7"/>
      <c r="F6" s="8"/>
    </row>
    <row r="7" spans="1:8" x14ac:dyDescent="0.2">
      <c r="A7" s="33"/>
      <c r="B7" s="33"/>
      <c r="C7" s="33"/>
      <c r="D7" s="5" t="s">
        <v>65</v>
      </c>
      <c r="E7" s="31"/>
      <c r="F7" s="126"/>
    </row>
    <row r="8" spans="1:8" x14ac:dyDescent="0.2">
      <c r="A8" s="33" t="s">
        <v>65</v>
      </c>
      <c r="B8" s="33" t="s">
        <v>67</v>
      </c>
      <c r="C8" s="34">
        <v>20</v>
      </c>
      <c r="D8" s="4">
        <v>0.58299999999999996</v>
      </c>
      <c r="E8" s="6">
        <v>19.5</v>
      </c>
      <c r="F8" s="6">
        <f>E8/C8</f>
        <v>0.97499999999999998</v>
      </c>
      <c r="G8" s="178">
        <f>D8*E8/C8</f>
        <v>0.56842499999999996</v>
      </c>
    </row>
    <row r="9" spans="1:8" x14ac:dyDescent="0.2">
      <c r="A9" s="36"/>
      <c r="B9" s="36" t="s">
        <v>47</v>
      </c>
      <c r="C9" s="37">
        <v>20</v>
      </c>
      <c r="D9" s="114">
        <v>53.606000000000002</v>
      </c>
      <c r="E9" s="16">
        <v>19.5</v>
      </c>
      <c r="F9" s="6">
        <f t="shared" ref="F9:F11" si="0">E9/C9</f>
        <v>0.97499999999999998</v>
      </c>
      <c r="G9" s="178">
        <f t="shared" ref="G9:G11" si="1">D9*E9/C9</f>
        <v>52.26585</v>
      </c>
    </row>
    <row r="10" spans="1:8" x14ac:dyDescent="0.2">
      <c r="A10" s="36"/>
      <c r="B10" s="36" t="s">
        <v>68</v>
      </c>
      <c r="C10" s="37">
        <v>25</v>
      </c>
      <c r="D10" s="114">
        <v>24.696000000000002</v>
      </c>
      <c r="E10" s="16">
        <v>19.5</v>
      </c>
      <c r="F10" s="6">
        <f t="shared" si="0"/>
        <v>0.78</v>
      </c>
      <c r="G10" s="178">
        <f t="shared" si="1"/>
        <v>19.262879999999999</v>
      </c>
    </row>
    <row r="11" spans="1:8" x14ac:dyDescent="0.2">
      <c r="A11" s="36"/>
      <c r="B11" s="36" t="s">
        <v>23</v>
      </c>
      <c r="C11" s="37">
        <v>20</v>
      </c>
      <c r="D11" s="22">
        <v>0.71</v>
      </c>
      <c r="E11" s="16">
        <v>19.5</v>
      </c>
      <c r="F11" s="6">
        <f t="shared" si="0"/>
        <v>0.97499999999999998</v>
      </c>
      <c r="G11" s="178">
        <f t="shared" si="1"/>
        <v>0.69224999999999992</v>
      </c>
    </row>
    <row r="12" spans="1:8" x14ac:dyDescent="0.2">
      <c r="A12" s="36"/>
      <c r="B12" s="36"/>
      <c r="C12" s="37"/>
      <c r="D12" s="121">
        <f>SUM(D8:D11)</f>
        <v>79.594999999999999</v>
      </c>
      <c r="E12" s="16"/>
      <c r="F12" s="22"/>
      <c r="G12" s="16"/>
    </row>
    <row r="13" spans="1:8" x14ac:dyDescent="0.2">
      <c r="A13" s="40"/>
      <c r="B13" s="40"/>
      <c r="C13" s="41"/>
      <c r="D13" s="20" t="s">
        <v>66</v>
      </c>
      <c r="E13" s="30"/>
      <c r="F13" s="127"/>
      <c r="G13" s="21"/>
    </row>
    <row r="14" spans="1:8" x14ac:dyDescent="0.2">
      <c r="A14" s="36" t="s">
        <v>66</v>
      </c>
      <c r="B14" s="36" t="s">
        <v>68</v>
      </c>
      <c r="C14" s="37">
        <v>20</v>
      </c>
      <c r="D14" s="114">
        <v>17.366</v>
      </c>
      <c r="E14" s="16">
        <v>20</v>
      </c>
      <c r="F14" s="16">
        <f>E14/C14</f>
        <v>1</v>
      </c>
      <c r="G14" s="175">
        <f t="shared" ref="G14:G19" si="2">D14*E14/C14</f>
        <v>17.366</v>
      </c>
    </row>
    <row r="15" spans="1:8" x14ac:dyDescent="0.2">
      <c r="A15" s="36"/>
      <c r="B15" s="36" t="s">
        <v>68</v>
      </c>
      <c r="C15" s="37">
        <v>40</v>
      </c>
      <c r="D15" s="114">
        <v>20.459</v>
      </c>
      <c r="E15" s="16">
        <v>39.299999999999997</v>
      </c>
      <c r="F15" s="16">
        <f t="shared" ref="F15:F19" si="3">E15/C15</f>
        <v>0.98249999999999993</v>
      </c>
      <c r="G15" s="175">
        <f t="shared" si="2"/>
        <v>20.100967499999999</v>
      </c>
    </row>
    <row r="16" spans="1:8" x14ac:dyDescent="0.2">
      <c r="A16" s="36"/>
      <c r="B16" s="36" t="s">
        <v>69</v>
      </c>
      <c r="C16" s="37">
        <v>20</v>
      </c>
      <c r="D16" s="114">
        <v>11.108000000000001</v>
      </c>
      <c r="E16" s="16">
        <v>20</v>
      </c>
      <c r="F16" s="16">
        <f t="shared" si="3"/>
        <v>1</v>
      </c>
      <c r="G16" s="175">
        <f t="shared" si="2"/>
        <v>11.108000000000001</v>
      </c>
    </row>
    <row r="17" spans="1:7" x14ac:dyDescent="0.2">
      <c r="A17" s="36"/>
      <c r="B17" s="36" t="s">
        <v>69</v>
      </c>
      <c r="C17" s="37">
        <v>40</v>
      </c>
      <c r="D17" s="114">
        <v>10.914</v>
      </c>
      <c r="E17" s="16">
        <v>39.299999999999997</v>
      </c>
      <c r="F17" s="16">
        <f t="shared" si="3"/>
        <v>0.98249999999999993</v>
      </c>
      <c r="G17" s="175">
        <f t="shared" si="2"/>
        <v>10.723004999999999</v>
      </c>
    </row>
    <row r="18" spans="1:7" x14ac:dyDescent="0.2">
      <c r="A18" s="36"/>
      <c r="B18" s="36" t="s">
        <v>51</v>
      </c>
      <c r="C18" s="37">
        <v>20</v>
      </c>
      <c r="D18" s="114">
        <v>2.9279999999999999</v>
      </c>
      <c r="E18" s="16">
        <v>20</v>
      </c>
      <c r="F18" s="16">
        <f t="shared" si="3"/>
        <v>1</v>
      </c>
      <c r="G18" s="175">
        <f t="shared" si="2"/>
        <v>2.9279999999999999</v>
      </c>
    </row>
    <row r="19" spans="1:7" x14ac:dyDescent="0.2">
      <c r="A19" s="36"/>
      <c r="B19" s="36" t="s">
        <v>50</v>
      </c>
      <c r="C19" s="37">
        <v>40</v>
      </c>
      <c r="D19" s="114">
        <v>2.9649999999999999</v>
      </c>
      <c r="E19" s="16">
        <v>39.299999999999997</v>
      </c>
      <c r="F19" s="16">
        <f t="shared" si="3"/>
        <v>0.98249999999999993</v>
      </c>
      <c r="G19" s="175">
        <f t="shared" si="2"/>
        <v>2.9131124999999995</v>
      </c>
    </row>
    <row r="20" spans="1:7" x14ac:dyDescent="0.2">
      <c r="A20" s="36"/>
      <c r="B20" s="36"/>
      <c r="C20" s="37"/>
      <c r="D20" s="119">
        <f>SUM(D14:D19)</f>
        <v>65.740000000000009</v>
      </c>
      <c r="E20" s="16"/>
      <c r="F20" s="22"/>
      <c r="G20" s="16"/>
    </row>
    <row r="21" spans="1:7" x14ac:dyDescent="0.2">
      <c r="A21" s="40"/>
      <c r="B21" s="40"/>
      <c r="C21" s="41"/>
      <c r="D21" s="20" t="s">
        <v>70</v>
      </c>
      <c r="E21" s="30"/>
      <c r="F21" s="127"/>
      <c r="G21" s="21"/>
    </row>
    <row r="22" spans="1:7" x14ac:dyDescent="0.2">
      <c r="A22" s="36" t="s">
        <v>70</v>
      </c>
      <c r="B22" s="36" t="s">
        <v>71</v>
      </c>
      <c r="C22" s="37">
        <v>20</v>
      </c>
      <c r="D22" s="22">
        <v>0.66300000000000003</v>
      </c>
      <c r="E22" s="16">
        <v>23.9</v>
      </c>
      <c r="F22" s="16">
        <f>E22/C22</f>
        <v>1.1949999999999998</v>
      </c>
      <c r="G22" s="175">
        <f>D22*E22/C22</f>
        <v>0.79228499999999991</v>
      </c>
    </row>
    <row r="23" spans="1:7" x14ac:dyDescent="0.2">
      <c r="A23" s="36"/>
      <c r="B23" s="36" t="s">
        <v>72</v>
      </c>
      <c r="C23" s="37">
        <v>20</v>
      </c>
      <c r="D23" s="114">
        <v>7.3330000000000002</v>
      </c>
      <c r="E23" s="16">
        <v>23.9</v>
      </c>
      <c r="F23" s="16">
        <f t="shared" ref="F23:F25" si="4">E23/C23</f>
        <v>1.1949999999999998</v>
      </c>
      <c r="G23" s="175">
        <f t="shared" ref="G23:G25" si="5">D23*E23/C23</f>
        <v>8.7629350000000006</v>
      </c>
    </row>
    <row r="24" spans="1:7" x14ac:dyDescent="0.2">
      <c r="A24" s="36"/>
      <c r="B24" s="36" t="s">
        <v>74</v>
      </c>
      <c r="C24" s="37">
        <v>20</v>
      </c>
      <c r="D24" s="114">
        <v>53.158000000000001</v>
      </c>
      <c r="E24" s="16">
        <v>23.9</v>
      </c>
      <c r="F24" s="16">
        <f t="shared" si="4"/>
        <v>1.1949999999999998</v>
      </c>
      <c r="G24" s="175">
        <f t="shared" si="5"/>
        <v>63.523810000000005</v>
      </c>
    </row>
    <row r="25" spans="1:7" x14ac:dyDescent="0.2">
      <c r="A25" s="36"/>
      <c r="B25" s="36" t="s">
        <v>73</v>
      </c>
      <c r="C25" s="37">
        <v>20</v>
      </c>
      <c r="D25" s="114">
        <v>24.597000000000001</v>
      </c>
      <c r="E25" s="16">
        <v>23.9</v>
      </c>
      <c r="F25" s="16">
        <f t="shared" si="4"/>
        <v>1.1949999999999998</v>
      </c>
      <c r="G25" s="175">
        <f t="shared" si="5"/>
        <v>29.393414999999997</v>
      </c>
    </row>
    <row r="26" spans="1:7" x14ac:dyDescent="0.2">
      <c r="A26" s="36"/>
      <c r="B26" s="36"/>
      <c r="C26" s="37"/>
      <c r="D26" s="119">
        <f>SUM(D22:D25)</f>
        <v>85.751000000000005</v>
      </c>
      <c r="E26" s="16"/>
      <c r="F26" s="22"/>
      <c r="G26" s="16"/>
    </row>
    <row r="27" spans="1:7" x14ac:dyDescent="0.2">
      <c r="A27" s="122" t="s">
        <v>157</v>
      </c>
      <c r="B27" s="122"/>
      <c r="C27" s="125"/>
      <c r="D27" s="143">
        <f>SUM(D8:D11,D14:D19,D22:D25)</f>
        <v>231.08599999999998</v>
      </c>
      <c r="E27" s="123"/>
      <c r="F27" s="123">
        <f>AVERAGE(F8:F11,F14:F19,F22:F25)</f>
        <v>1.0308928571428573</v>
      </c>
      <c r="G27" s="177">
        <f>SUM(G8:G11,G14:G19,G22:G25)</f>
        <v>240.400935</v>
      </c>
    </row>
    <row r="28" spans="1:7" x14ac:dyDescent="0.2">
      <c r="C28" s="3"/>
      <c r="D28" s="3"/>
      <c r="E28" s="6"/>
      <c r="F28" s="6"/>
      <c r="G28" s="3"/>
    </row>
    <row r="29" spans="1:7" x14ac:dyDescent="0.2">
      <c r="C29" s="3"/>
      <c r="D29" s="3"/>
      <c r="E29" s="6"/>
      <c r="F29" s="6"/>
      <c r="G29" s="6"/>
    </row>
    <row r="30" spans="1:7" x14ac:dyDescent="0.2">
      <c r="D30" s="3"/>
      <c r="E30" s="6"/>
      <c r="F30" s="6"/>
      <c r="G30" s="3"/>
    </row>
    <row r="31" spans="1:7" x14ac:dyDescent="0.2">
      <c r="D31" s="3"/>
      <c r="E31" s="6"/>
      <c r="F31" s="6"/>
      <c r="G31" s="3"/>
    </row>
    <row r="32" spans="1:7" x14ac:dyDescent="0.2">
      <c r="D32" s="3"/>
      <c r="E32" s="6"/>
      <c r="F32" s="6"/>
      <c r="G32" s="3"/>
    </row>
    <row r="33" spans="4:7" ht="18" x14ac:dyDescent="0.25">
      <c r="D33" s="190"/>
      <c r="E33" s="6"/>
      <c r="F33" s="6"/>
      <c r="G33" s="3"/>
    </row>
    <row r="34" spans="4:7" x14ac:dyDescent="0.2">
      <c r="D34" s="3"/>
      <c r="E34" s="6"/>
      <c r="F34" s="6"/>
      <c r="G34" s="3"/>
    </row>
    <row r="35" spans="4:7" x14ac:dyDescent="0.2">
      <c r="E35" s="7"/>
      <c r="F35" s="7"/>
    </row>
    <row r="36" spans="4:7" x14ac:dyDescent="0.2">
      <c r="E36" s="7"/>
      <c r="F36" s="7"/>
    </row>
    <row r="37" spans="4:7" x14ac:dyDescent="0.2">
      <c r="E37" s="7"/>
      <c r="F37" s="7"/>
    </row>
    <row r="38" spans="4:7" x14ac:dyDescent="0.2">
      <c r="E38" s="7"/>
      <c r="F38" s="7"/>
    </row>
    <row r="39" spans="4:7" x14ac:dyDescent="0.2">
      <c r="E39" s="7"/>
      <c r="F39" s="7"/>
    </row>
    <row r="40" spans="4:7" x14ac:dyDescent="0.2">
      <c r="E40" s="7"/>
      <c r="F40" s="7"/>
    </row>
    <row r="41" spans="4:7" x14ac:dyDescent="0.2">
      <c r="E41" s="7"/>
      <c r="F41" s="7"/>
    </row>
    <row r="42" spans="4:7" x14ac:dyDescent="0.2">
      <c r="E42" s="7"/>
      <c r="F42" s="7"/>
    </row>
    <row r="43" spans="4:7" x14ac:dyDescent="0.2">
      <c r="E43" s="7"/>
      <c r="F43" s="7"/>
    </row>
    <row r="44" spans="4:7" x14ac:dyDescent="0.2">
      <c r="E44" s="7"/>
      <c r="F44" s="7"/>
    </row>
    <row r="45" spans="4:7" x14ac:dyDescent="0.2">
      <c r="E45" s="7"/>
      <c r="F45" s="7"/>
    </row>
    <row r="46" spans="4:7" x14ac:dyDescent="0.2">
      <c r="E46" s="7"/>
      <c r="F46" s="7"/>
    </row>
    <row r="47" spans="4:7" x14ac:dyDescent="0.2">
      <c r="E47" s="7"/>
      <c r="F47" s="7"/>
    </row>
    <row r="48" spans="4:7" x14ac:dyDescent="0.2">
      <c r="E48" s="7"/>
      <c r="F48" s="7"/>
    </row>
    <row r="49" spans="5:6" x14ac:dyDescent="0.2">
      <c r="E49" s="7"/>
      <c r="F49" s="7"/>
    </row>
    <row r="50" spans="5:6" x14ac:dyDescent="0.2">
      <c r="E50" s="7"/>
      <c r="F50" s="7"/>
    </row>
    <row r="51" spans="5:6" x14ac:dyDescent="0.2">
      <c r="E51" s="7"/>
      <c r="F51" s="7"/>
    </row>
    <row r="52" spans="5:6" x14ac:dyDescent="0.2">
      <c r="E52" s="7"/>
      <c r="F52" s="7"/>
    </row>
    <row r="53" spans="5:6" x14ac:dyDescent="0.2">
      <c r="E53" s="7"/>
      <c r="F53" s="7"/>
    </row>
    <row r="54" spans="5:6" x14ac:dyDescent="0.2">
      <c r="E54" s="7"/>
      <c r="F54" s="7"/>
    </row>
  </sheetData>
  <pageMargins left="0.70866141732283472" right="0.70866141732283472" top="0.74803149606299213" bottom="0.74803149606299213" header="0.31496062992125984" footer="0.31496062992125984"/>
  <pageSetup paperSize="8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Normal="100" workbookViewId="0">
      <selection activeCell="I16" sqref="I16"/>
    </sheetView>
  </sheetViews>
  <sheetFormatPr defaultRowHeight="12.75" x14ac:dyDescent="0.2"/>
  <cols>
    <col min="1" max="1" width="21.42578125" customWidth="1"/>
    <col min="2" max="2" width="20.7109375" customWidth="1"/>
    <col min="4" max="4" width="27.28515625" customWidth="1"/>
    <col min="5" max="6" width="16.85546875" customWidth="1"/>
    <col min="7" max="7" width="26.5703125" customWidth="1"/>
    <col min="8" max="8" width="11" customWidth="1"/>
  </cols>
  <sheetData>
    <row r="1" spans="1:9" ht="18" x14ac:dyDescent="0.25">
      <c r="A1" s="185" t="s">
        <v>249</v>
      </c>
    </row>
    <row r="3" spans="1:9" x14ac:dyDescent="0.2">
      <c r="A3" s="42" t="s">
        <v>0</v>
      </c>
      <c r="B3" s="42" t="s">
        <v>1</v>
      </c>
      <c r="C3" s="42" t="s">
        <v>2</v>
      </c>
      <c r="D3" s="43" t="s">
        <v>184</v>
      </c>
      <c r="E3" s="42" t="s">
        <v>185</v>
      </c>
      <c r="F3" s="42" t="s">
        <v>187</v>
      </c>
      <c r="G3" s="96" t="s">
        <v>186</v>
      </c>
    </row>
    <row r="4" spans="1:9" x14ac:dyDescent="0.2">
      <c r="A4" s="42"/>
      <c r="B4" s="42"/>
      <c r="C4" s="42"/>
      <c r="D4" s="97" t="s">
        <v>169</v>
      </c>
      <c r="E4" s="96" t="s">
        <v>276</v>
      </c>
      <c r="F4" s="96" t="s">
        <v>276</v>
      </c>
      <c r="G4" s="96" t="s">
        <v>278</v>
      </c>
    </row>
    <row r="5" spans="1:9" x14ac:dyDescent="0.2">
      <c r="A5" s="42"/>
      <c r="B5" s="42"/>
      <c r="C5" s="42"/>
      <c r="D5" s="97"/>
      <c r="E5" s="96"/>
      <c r="F5" s="96" t="s">
        <v>201</v>
      </c>
      <c r="G5" s="96" t="s">
        <v>202</v>
      </c>
    </row>
    <row r="6" spans="1:9" x14ac:dyDescent="0.2">
      <c r="A6" s="35" t="s">
        <v>76</v>
      </c>
      <c r="B6" s="36"/>
      <c r="C6" s="36"/>
      <c r="D6" s="26" t="s">
        <v>76</v>
      </c>
      <c r="E6" s="45"/>
      <c r="F6" s="45"/>
      <c r="G6" s="14"/>
    </row>
    <row r="7" spans="1:9" x14ac:dyDescent="0.2">
      <c r="A7" s="46" t="s">
        <v>114</v>
      </c>
      <c r="B7" s="36" t="s">
        <v>19</v>
      </c>
      <c r="C7" s="37">
        <v>20</v>
      </c>
      <c r="D7" s="22">
        <v>0.24</v>
      </c>
      <c r="E7" s="16">
        <v>18.899999999999999</v>
      </c>
      <c r="F7" s="16">
        <f>E7/C7</f>
        <v>0.94499999999999995</v>
      </c>
      <c r="G7" s="200">
        <f>D7*E7/C7</f>
        <v>0.22679999999999997</v>
      </c>
    </row>
    <row r="8" spans="1:9" x14ac:dyDescent="0.2">
      <c r="A8" s="36" t="s">
        <v>79</v>
      </c>
      <c r="B8" s="36"/>
      <c r="C8" s="37">
        <v>20</v>
      </c>
      <c r="D8" s="22">
        <v>0.19</v>
      </c>
      <c r="E8" s="16">
        <v>19.7</v>
      </c>
      <c r="F8" s="16">
        <f t="shared" ref="F8:F11" si="0">E8/C8</f>
        <v>0.98499999999999999</v>
      </c>
      <c r="G8" s="170">
        <f t="shared" ref="G8:G11" si="1">D8*E8/C8</f>
        <v>0.18714999999999998</v>
      </c>
    </row>
    <row r="9" spans="1:9" x14ac:dyDescent="0.2">
      <c r="A9" s="36" t="s">
        <v>80</v>
      </c>
      <c r="B9" s="36"/>
      <c r="C9" s="37">
        <v>20</v>
      </c>
      <c r="D9" s="22">
        <v>0.06</v>
      </c>
      <c r="E9" s="16">
        <v>19.600000000000001</v>
      </c>
      <c r="F9" s="16">
        <f t="shared" si="0"/>
        <v>0.98000000000000009</v>
      </c>
      <c r="G9" s="170">
        <f t="shared" si="1"/>
        <v>5.8799999999999998E-2</v>
      </c>
      <c r="I9" s="8"/>
    </row>
    <row r="10" spans="1:9" x14ac:dyDescent="0.2">
      <c r="A10" s="36" t="s">
        <v>81</v>
      </c>
      <c r="B10" s="36"/>
      <c r="C10" s="37">
        <v>20</v>
      </c>
      <c r="D10" s="22">
        <v>0.02</v>
      </c>
      <c r="E10" s="16">
        <v>19.2</v>
      </c>
      <c r="F10" s="16">
        <f t="shared" si="0"/>
        <v>0.96</v>
      </c>
      <c r="G10" s="170">
        <f t="shared" si="1"/>
        <v>1.9200000000000002E-2</v>
      </c>
      <c r="I10" s="149"/>
    </row>
    <row r="11" spans="1:9" x14ac:dyDescent="0.2">
      <c r="A11" s="36" t="s">
        <v>82</v>
      </c>
      <c r="B11" s="36"/>
      <c r="C11" s="37">
        <v>20</v>
      </c>
      <c r="D11" s="22">
        <v>0.19</v>
      </c>
      <c r="E11" s="16">
        <v>19.7</v>
      </c>
      <c r="F11" s="16">
        <f t="shared" si="0"/>
        <v>0.98499999999999999</v>
      </c>
      <c r="G11" s="170">
        <f t="shared" si="1"/>
        <v>0.18714999999999998</v>
      </c>
    </row>
    <row r="12" spans="1:9" x14ac:dyDescent="0.2">
      <c r="A12" s="36"/>
      <c r="B12" s="36"/>
      <c r="C12" s="37"/>
      <c r="D12" s="121">
        <f>SUM(D7:D11)</f>
        <v>0.7</v>
      </c>
      <c r="E12" s="16"/>
      <c r="F12" s="22"/>
      <c r="G12" s="171"/>
    </row>
    <row r="13" spans="1:9" x14ac:dyDescent="0.2">
      <c r="A13" s="51" t="s">
        <v>84</v>
      </c>
      <c r="B13" s="40"/>
      <c r="C13" s="40"/>
      <c r="D13" s="20" t="s">
        <v>84</v>
      </c>
      <c r="E13" s="128"/>
      <c r="F13" s="132"/>
      <c r="G13" s="172"/>
    </row>
    <row r="14" spans="1:9" x14ac:dyDescent="0.2">
      <c r="A14" s="36" t="s">
        <v>46</v>
      </c>
      <c r="B14" s="36"/>
      <c r="C14" s="37">
        <v>20</v>
      </c>
      <c r="D14" s="27">
        <v>2.4</v>
      </c>
      <c r="E14" s="16">
        <v>24</v>
      </c>
      <c r="F14" s="16">
        <f>E14/C14</f>
        <v>1.2</v>
      </c>
      <c r="G14" s="170">
        <f>D14*E14/C14</f>
        <v>2.88</v>
      </c>
    </row>
    <row r="15" spans="1:9" x14ac:dyDescent="0.2">
      <c r="A15" s="36"/>
      <c r="B15" s="36"/>
      <c r="C15" s="37"/>
      <c r="D15" s="45">
        <f>SUM(D14)</f>
        <v>2.4</v>
      </c>
      <c r="E15" s="16"/>
      <c r="F15" s="22"/>
      <c r="G15" s="171"/>
    </row>
    <row r="16" spans="1:9" x14ac:dyDescent="0.2">
      <c r="A16" s="51" t="s">
        <v>75</v>
      </c>
      <c r="B16" s="40"/>
      <c r="C16" s="40"/>
      <c r="D16" s="20" t="s">
        <v>75</v>
      </c>
      <c r="E16" s="20"/>
      <c r="F16" s="127"/>
      <c r="G16" s="172"/>
    </row>
    <row r="17" spans="1:7" x14ac:dyDescent="0.2">
      <c r="A17" s="36" t="s">
        <v>115</v>
      </c>
      <c r="B17" s="36" t="s">
        <v>19</v>
      </c>
      <c r="C17" s="37">
        <v>20</v>
      </c>
      <c r="D17" s="129">
        <v>2.4</v>
      </c>
      <c r="E17" s="16">
        <v>23</v>
      </c>
      <c r="F17" s="16">
        <f>E17/C17</f>
        <v>1.1499999999999999</v>
      </c>
      <c r="G17" s="170">
        <f t="shared" ref="G17:G23" si="2">D17*E17/C17</f>
        <v>2.76</v>
      </c>
    </row>
    <row r="18" spans="1:7" x14ac:dyDescent="0.2">
      <c r="A18" s="36"/>
      <c r="B18" s="36" t="s">
        <v>44</v>
      </c>
      <c r="C18" s="37">
        <v>20</v>
      </c>
      <c r="D18" s="129">
        <v>1.1000000000000001</v>
      </c>
      <c r="E18" s="16">
        <v>23</v>
      </c>
      <c r="F18" s="16">
        <f t="shared" ref="F18:F23" si="3">E18/C18</f>
        <v>1.1499999999999999</v>
      </c>
      <c r="G18" s="170">
        <f t="shared" si="2"/>
        <v>1.2650000000000001</v>
      </c>
    </row>
    <row r="19" spans="1:7" x14ac:dyDescent="0.2">
      <c r="A19" s="36"/>
      <c r="B19" s="124">
        <v>5000</v>
      </c>
      <c r="C19" s="37">
        <v>20</v>
      </c>
      <c r="D19" s="129">
        <v>0.22</v>
      </c>
      <c r="E19" s="16">
        <v>23</v>
      </c>
      <c r="F19" s="16">
        <f t="shared" si="3"/>
        <v>1.1499999999999999</v>
      </c>
      <c r="G19" s="170">
        <f t="shared" si="2"/>
        <v>0.253</v>
      </c>
    </row>
    <row r="20" spans="1:7" x14ac:dyDescent="0.2">
      <c r="A20" s="36" t="s">
        <v>114</v>
      </c>
      <c r="B20" s="36" t="s">
        <v>44</v>
      </c>
      <c r="C20" s="37">
        <v>20</v>
      </c>
      <c r="D20" s="129">
        <v>0.4</v>
      </c>
      <c r="E20" s="16">
        <v>19.5</v>
      </c>
      <c r="F20" s="16">
        <f t="shared" si="3"/>
        <v>0.97499999999999998</v>
      </c>
      <c r="G20" s="170">
        <f t="shared" si="2"/>
        <v>0.39</v>
      </c>
    </row>
    <row r="21" spans="1:7" x14ac:dyDescent="0.2">
      <c r="A21" s="36"/>
      <c r="B21" s="36" t="s">
        <v>19</v>
      </c>
      <c r="C21" s="37">
        <v>20</v>
      </c>
      <c r="D21" s="129">
        <v>1.34</v>
      </c>
      <c r="E21" s="16">
        <v>19.5</v>
      </c>
      <c r="F21" s="16">
        <f t="shared" si="3"/>
        <v>0.97499999999999998</v>
      </c>
      <c r="G21" s="170">
        <f t="shared" si="2"/>
        <v>1.3065000000000002</v>
      </c>
    </row>
    <row r="22" spans="1:7" x14ac:dyDescent="0.2">
      <c r="A22" s="36" t="s">
        <v>78</v>
      </c>
      <c r="B22" s="36"/>
      <c r="C22" s="37">
        <v>20</v>
      </c>
      <c r="D22" s="129">
        <v>0.44</v>
      </c>
      <c r="E22" s="16">
        <v>19</v>
      </c>
      <c r="F22" s="16">
        <f t="shared" si="3"/>
        <v>0.95</v>
      </c>
      <c r="G22" s="170">
        <f t="shared" si="2"/>
        <v>0.41799999999999998</v>
      </c>
    </row>
    <row r="23" spans="1:7" x14ac:dyDescent="0.2">
      <c r="A23" s="36" t="s">
        <v>77</v>
      </c>
      <c r="B23" s="36"/>
      <c r="C23" s="37">
        <v>20</v>
      </c>
      <c r="D23" s="129">
        <v>0.32</v>
      </c>
      <c r="E23" s="16">
        <v>29</v>
      </c>
      <c r="F23" s="16">
        <f t="shared" si="3"/>
        <v>1.45</v>
      </c>
      <c r="G23" s="170">
        <f t="shared" si="2"/>
        <v>0.46399999999999997</v>
      </c>
    </row>
    <row r="24" spans="1:7" x14ac:dyDescent="0.2">
      <c r="A24" s="36"/>
      <c r="B24" s="36"/>
      <c r="C24" s="37"/>
      <c r="D24" s="130">
        <f>SUM(D17:D23)</f>
        <v>6.2200000000000006</v>
      </c>
      <c r="E24" s="16"/>
      <c r="F24" s="22"/>
      <c r="G24" s="171"/>
    </row>
    <row r="25" spans="1:7" x14ac:dyDescent="0.2">
      <c r="A25" s="51" t="s">
        <v>83</v>
      </c>
      <c r="B25" s="40"/>
      <c r="C25" s="40"/>
      <c r="D25" s="20" t="s">
        <v>83</v>
      </c>
      <c r="E25" s="20"/>
      <c r="F25" s="127"/>
      <c r="G25" s="172"/>
    </row>
    <row r="26" spans="1:7" x14ac:dyDescent="0.2">
      <c r="A26" s="36" t="s">
        <v>111</v>
      </c>
      <c r="B26" s="36" t="s">
        <v>22</v>
      </c>
      <c r="C26" s="37">
        <v>20</v>
      </c>
      <c r="D26" s="118">
        <v>0.81799999999999995</v>
      </c>
      <c r="E26" s="16">
        <v>19.3</v>
      </c>
      <c r="F26" s="16">
        <f>E26/C26</f>
        <v>0.96500000000000008</v>
      </c>
      <c r="G26" s="170">
        <f t="shared" ref="G26:G35" si="4">D26*E26/C26</f>
        <v>0.78937000000000002</v>
      </c>
    </row>
    <row r="27" spans="1:7" x14ac:dyDescent="0.2">
      <c r="A27" s="36"/>
      <c r="B27" s="36" t="s">
        <v>54</v>
      </c>
      <c r="C27" s="37">
        <v>20</v>
      </c>
      <c r="D27" s="22">
        <v>1.323</v>
      </c>
      <c r="E27" s="16">
        <v>19.3</v>
      </c>
      <c r="F27" s="16">
        <f t="shared" ref="F27:F35" si="5">E27/C27</f>
        <v>0.96500000000000008</v>
      </c>
      <c r="G27" s="170">
        <f t="shared" si="4"/>
        <v>1.2766949999999999</v>
      </c>
    </row>
    <row r="28" spans="1:7" x14ac:dyDescent="0.2">
      <c r="A28" s="36"/>
      <c r="B28" s="36" t="s">
        <v>19</v>
      </c>
      <c r="C28" s="37">
        <v>30</v>
      </c>
      <c r="D28" s="22">
        <v>1.135</v>
      </c>
      <c r="E28" s="16">
        <v>29</v>
      </c>
      <c r="F28" s="16">
        <f t="shared" si="5"/>
        <v>0.96666666666666667</v>
      </c>
      <c r="G28" s="170">
        <f t="shared" si="4"/>
        <v>1.0971666666666666</v>
      </c>
    </row>
    <row r="29" spans="1:7" x14ac:dyDescent="0.2">
      <c r="A29" s="36"/>
      <c r="B29" s="36" t="s">
        <v>122</v>
      </c>
      <c r="C29" s="37">
        <v>20</v>
      </c>
      <c r="D29" s="22">
        <v>8.3309999999999995</v>
      </c>
      <c r="E29" s="16">
        <v>19.3</v>
      </c>
      <c r="F29" s="16">
        <f t="shared" si="5"/>
        <v>0.96500000000000008</v>
      </c>
      <c r="G29" s="170">
        <f t="shared" si="4"/>
        <v>8.039415</v>
      </c>
    </row>
    <row r="30" spans="1:7" x14ac:dyDescent="0.2">
      <c r="A30" s="36" t="s">
        <v>112</v>
      </c>
      <c r="B30" s="36"/>
      <c r="C30" s="37">
        <v>20</v>
      </c>
      <c r="D30" s="22">
        <v>0.112</v>
      </c>
      <c r="E30" s="16">
        <v>25</v>
      </c>
      <c r="F30" s="16">
        <f t="shared" si="5"/>
        <v>1.25</v>
      </c>
      <c r="G30" s="170">
        <f t="shared" si="4"/>
        <v>0.14000000000000001</v>
      </c>
    </row>
    <row r="31" spans="1:7" x14ac:dyDescent="0.2">
      <c r="A31" s="36" t="s">
        <v>123</v>
      </c>
      <c r="B31" s="36" t="s">
        <v>119</v>
      </c>
      <c r="C31" s="37">
        <v>20</v>
      </c>
      <c r="D31" s="22">
        <v>3.6869999999999998</v>
      </c>
      <c r="E31" s="16">
        <v>19.3</v>
      </c>
      <c r="F31" s="16">
        <f t="shared" si="5"/>
        <v>0.96500000000000008</v>
      </c>
      <c r="G31" s="170">
        <f t="shared" si="4"/>
        <v>3.5579549999999998</v>
      </c>
    </row>
    <row r="32" spans="1:7" x14ac:dyDescent="0.2">
      <c r="A32" s="36"/>
      <c r="B32" s="36" t="s">
        <v>119</v>
      </c>
      <c r="C32" s="37">
        <v>30</v>
      </c>
      <c r="D32" s="22">
        <v>0.38700000000000001</v>
      </c>
      <c r="E32" s="16">
        <v>29</v>
      </c>
      <c r="F32" s="16">
        <f t="shared" si="5"/>
        <v>0.96666666666666667</v>
      </c>
      <c r="G32" s="170">
        <f t="shared" si="4"/>
        <v>0.37410000000000004</v>
      </c>
    </row>
    <row r="33" spans="1:7" x14ac:dyDescent="0.2">
      <c r="A33" s="36"/>
      <c r="B33" s="36" t="s">
        <v>120</v>
      </c>
      <c r="C33" s="37">
        <v>20</v>
      </c>
      <c r="D33" s="22">
        <v>0.42699999999999999</v>
      </c>
      <c r="E33" s="16">
        <v>19.3</v>
      </c>
      <c r="F33" s="16">
        <f t="shared" si="5"/>
        <v>0.96500000000000008</v>
      </c>
      <c r="G33" s="170">
        <f t="shared" si="4"/>
        <v>0.41205499999999995</v>
      </c>
    </row>
    <row r="34" spans="1:7" x14ac:dyDescent="0.2">
      <c r="A34" s="36"/>
      <c r="B34" s="36" t="s">
        <v>50</v>
      </c>
      <c r="C34" s="37">
        <v>20</v>
      </c>
      <c r="D34" s="22">
        <v>0.2</v>
      </c>
      <c r="E34" s="16">
        <v>19.3</v>
      </c>
      <c r="F34" s="16">
        <f t="shared" si="5"/>
        <v>0.96500000000000008</v>
      </c>
      <c r="G34" s="170">
        <f t="shared" si="4"/>
        <v>0.193</v>
      </c>
    </row>
    <row r="35" spans="1:7" x14ac:dyDescent="0.2">
      <c r="A35" s="36" t="s">
        <v>113</v>
      </c>
      <c r="B35" s="36"/>
      <c r="C35" s="37">
        <v>20</v>
      </c>
      <c r="D35" s="22">
        <v>0.53400000000000003</v>
      </c>
      <c r="E35" s="16">
        <v>19.5</v>
      </c>
      <c r="F35" s="16">
        <f t="shared" si="5"/>
        <v>0.97499999999999998</v>
      </c>
      <c r="G35" s="170">
        <f t="shared" si="4"/>
        <v>0.52065000000000006</v>
      </c>
    </row>
    <row r="36" spans="1:7" x14ac:dyDescent="0.2">
      <c r="A36" s="36"/>
      <c r="B36" s="36"/>
      <c r="C36" s="37"/>
      <c r="D36" s="121">
        <f>SUM(D26:D35)</f>
        <v>16.953999999999997</v>
      </c>
      <c r="E36" s="16"/>
      <c r="F36" s="22"/>
      <c r="G36" s="171"/>
    </row>
    <row r="37" spans="1:7" x14ac:dyDescent="0.2">
      <c r="A37" s="51" t="s">
        <v>101</v>
      </c>
      <c r="B37" s="40"/>
      <c r="C37" s="40"/>
      <c r="D37" s="20" t="s">
        <v>101</v>
      </c>
      <c r="E37" s="128"/>
      <c r="F37" s="132"/>
      <c r="G37" s="172"/>
    </row>
    <row r="38" spans="1:7" x14ac:dyDescent="0.2">
      <c r="A38" s="36" t="s">
        <v>118</v>
      </c>
      <c r="B38" s="36" t="s">
        <v>116</v>
      </c>
      <c r="C38" s="37">
        <v>20</v>
      </c>
      <c r="D38" s="22">
        <v>5.0000000000000001E-3</v>
      </c>
      <c r="E38" s="16">
        <v>29.9</v>
      </c>
      <c r="F38" s="16">
        <f>E38/C38</f>
        <v>1.4949999999999999</v>
      </c>
      <c r="G38" s="170">
        <f>D38*E38/C38</f>
        <v>7.4749999999999999E-3</v>
      </c>
    </row>
    <row r="39" spans="1:7" x14ac:dyDescent="0.2">
      <c r="A39" s="36"/>
      <c r="B39" s="36" t="s">
        <v>117</v>
      </c>
      <c r="C39" s="37">
        <v>20</v>
      </c>
      <c r="D39" s="22">
        <v>0.109</v>
      </c>
      <c r="E39" s="16">
        <v>29.9</v>
      </c>
      <c r="F39" s="16">
        <f>E39/C39</f>
        <v>1.4949999999999999</v>
      </c>
      <c r="G39" s="170">
        <f>D39*E39/C39</f>
        <v>0.16295499999999999</v>
      </c>
    </row>
    <row r="40" spans="1:7" x14ac:dyDescent="0.2">
      <c r="A40" s="36"/>
      <c r="B40" s="36"/>
      <c r="C40" s="37"/>
      <c r="D40" s="121">
        <f>SUM(D38:D39)</f>
        <v>0.114</v>
      </c>
      <c r="E40" s="16"/>
      <c r="F40" s="22"/>
      <c r="G40" s="171"/>
    </row>
    <row r="41" spans="1:7" x14ac:dyDescent="0.2">
      <c r="A41" s="122" t="s">
        <v>158</v>
      </c>
      <c r="B41" s="122"/>
      <c r="C41" s="125"/>
      <c r="D41" s="143">
        <f>SUM(D7:D11,D14,D17:D23,D26:D35,D38:D39)</f>
        <v>26.387999999999998</v>
      </c>
      <c r="E41" s="131"/>
      <c r="F41" s="123">
        <f>AVERAGE(F7:F11,F14,F17:F23,F26:F35,F38:F39)</f>
        <v>1.0717333333333334</v>
      </c>
      <c r="G41" s="173">
        <f>SUM(G7:G11,G14,G17:G23,G26:G35,G38:G39)</f>
        <v>26.986436666666663</v>
      </c>
    </row>
    <row r="42" spans="1:7" x14ac:dyDescent="0.2">
      <c r="C42" s="3"/>
      <c r="D42" s="9"/>
      <c r="E42" s="7"/>
      <c r="F42" s="7"/>
    </row>
    <row r="43" spans="1:7" x14ac:dyDescent="0.2">
      <c r="E43" s="7"/>
      <c r="F43" s="7"/>
    </row>
    <row r="44" spans="1:7" x14ac:dyDescent="0.2">
      <c r="E44" s="7"/>
      <c r="F44" s="7"/>
    </row>
  </sheetData>
  <pageMargins left="0.70866141732283472" right="0.70866141732283472" top="0.74803149606299213" bottom="0.74803149606299213" header="0.31496062992125984" footer="0.31496062992125984"/>
  <pageSetup paperSize="8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zoomScaleNormal="100" workbookViewId="0">
      <selection activeCell="H6" sqref="H6"/>
    </sheetView>
  </sheetViews>
  <sheetFormatPr defaultRowHeight="12.75" x14ac:dyDescent="0.2"/>
  <cols>
    <col min="1" max="3" width="17" customWidth="1"/>
    <col min="4" max="5" width="14.42578125" customWidth="1"/>
    <col min="6" max="6" width="13.28515625" customWidth="1"/>
    <col min="7" max="7" width="20" customWidth="1"/>
    <col min="8" max="8" width="12.42578125" bestFit="1" customWidth="1"/>
    <col min="9" max="9" width="29" bestFit="1" customWidth="1"/>
    <col min="10" max="10" width="22.7109375" customWidth="1"/>
  </cols>
  <sheetData>
    <row r="1" spans="1:10" ht="18" x14ac:dyDescent="0.25">
      <c r="A1" s="185" t="s">
        <v>250</v>
      </c>
    </row>
    <row r="3" spans="1:10" x14ac:dyDescent="0.2">
      <c r="A3" s="44" t="s">
        <v>0</v>
      </c>
      <c r="B3" s="44" t="s">
        <v>86</v>
      </c>
      <c r="C3" s="44" t="s">
        <v>2</v>
      </c>
      <c r="D3" s="44" t="s">
        <v>208</v>
      </c>
      <c r="E3" s="44" t="s">
        <v>185</v>
      </c>
      <c r="F3" s="144" t="s">
        <v>189</v>
      </c>
      <c r="G3" s="144" t="s">
        <v>209</v>
      </c>
    </row>
    <row r="4" spans="1:10" x14ac:dyDescent="0.2">
      <c r="A4" s="44"/>
      <c r="B4" s="44"/>
      <c r="C4" s="74" t="s">
        <v>188</v>
      </c>
      <c r="D4" s="74" t="s">
        <v>181</v>
      </c>
      <c r="E4" s="74" t="s">
        <v>276</v>
      </c>
      <c r="F4" s="74" t="s">
        <v>276</v>
      </c>
      <c r="G4" s="74" t="s">
        <v>278</v>
      </c>
    </row>
    <row r="5" spans="1:10" x14ac:dyDescent="0.2">
      <c r="A5" s="44"/>
      <c r="B5" s="44"/>
      <c r="C5" s="74"/>
      <c r="D5" s="74"/>
      <c r="E5" s="74"/>
      <c r="F5" s="74" t="s">
        <v>198</v>
      </c>
      <c r="G5" s="74" t="s">
        <v>199</v>
      </c>
    </row>
    <row r="6" spans="1:10" x14ac:dyDescent="0.2">
      <c r="A6" s="32" t="s">
        <v>203</v>
      </c>
      <c r="B6" s="32"/>
      <c r="C6" s="47"/>
      <c r="D6" s="3"/>
      <c r="E6" s="6"/>
      <c r="F6" s="6"/>
      <c r="G6" s="3"/>
    </row>
    <row r="7" spans="1:10" x14ac:dyDescent="0.2">
      <c r="A7" s="32"/>
      <c r="B7" s="32"/>
      <c r="C7" s="47"/>
      <c r="D7" s="5" t="s">
        <v>85</v>
      </c>
      <c r="E7" s="6"/>
      <c r="F7" s="6"/>
      <c r="G7" s="6"/>
    </row>
    <row r="8" spans="1:10" x14ac:dyDescent="0.2">
      <c r="A8" s="33" t="s">
        <v>85</v>
      </c>
      <c r="B8" s="33"/>
      <c r="C8" s="34">
        <v>30</v>
      </c>
      <c r="D8" s="117">
        <f>27376/1000</f>
        <v>27.376000000000001</v>
      </c>
      <c r="E8" s="6">
        <v>48.5</v>
      </c>
      <c r="F8" s="6">
        <f>E8/C8</f>
        <v>1.6166666666666667</v>
      </c>
      <c r="G8" s="6">
        <f>D8*F8</f>
        <v>44.257866666666672</v>
      </c>
      <c r="I8" s="168"/>
    </row>
    <row r="9" spans="1:10" x14ac:dyDescent="0.2">
      <c r="A9" s="33"/>
      <c r="B9" s="33"/>
      <c r="C9" s="34">
        <v>50</v>
      </c>
      <c r="D9" s="117">
        <v>3.6970000000000001</v>
      </c>
      <c r="E9" s="6">
        <v>76.5</v>
      </c>
      <c r="F9" s="6">
        <f>E9/C9</f>
        <v>1.53</v>
      </c>
      <c r="G9" s="6">
        <f>D9*F9</f>
        <v>5.6564100000000002</v>
      </c>
    </row>
    <row r="10" spans="1:10" x14ac:dyDescent="0.2">
      <c r="A10" s="36"/>
      <c r="B10" s="36" t="s">
        <v>87</v>
      </c>
      <c r="C10" s="37">
        <v>30</v>
      </c>
      <c r="D10" s="114">
        <v>1.899</v>
      </c>
      <c r="E10" s="14">
        <v>48.5</v>
      </c>
      <c r="F10" s="16">
        <f>E10/C10</f>
        <v>1.6166666666666667</v>
      </c>
      <c r="G10" s="16">
        <f>D10*F10</f>
        <v>3.0700500000000002</v>
      </c>
    </row>
    <row r="11" spans="1:10" x14ac:dyDescent="0.2">
      <c r="A11" s="38"/>
      <c r="B11" s="38"/>
      <c r="C11" s="39"/>
      <c r="D11" s="158">
        <f>SUM(D8:D10)</f>
        <v>32.972000000000001</v>
      </c>
      <c r="E11" s="17"/>
      <c r="F11" s="18"/>
      <c r="G11" s="18"/>
    </row>
    <row r="12" spans="1:10" x14ac:dyDescent="0.2">
      <c r="A12" s="33"/>
      <c r="B12" s="33"/>
      <c r="C12" s="34"/>
      <c r="D12" s="5" t="s">
        <v>3</v>
      </c>
      <c r="E12" s="3"/>
      <c r="F12" s="6"/>
      <c r="G12" s="6"/>
    </row>
    <row r="13" spans="1:10" x14ac:dyDescent="0.2">
      <c r="A13" s="36" t="s">
        <v>3</v>
      </c>
      <c r="B13" s="36" t="s">
        <v>19</v>
      </c>
      <c r="C13" s="37">
        <v>30</v>
      </c>
      <c r="D13" s="114">
        <v>11.14</v>
      </c>
      <c r="E13" s="16">
        <v>48.5</v>
      </c>
      <c r="F13" s="16">
        <f>E13/C13</f>
        <v>1.6166666666666667</v>
      </c>
      <c r="G13" s="16">
        <f>D13*F13</f>
        <v>18.009666666666668</v>
      </c>
    </row>
    <row r="14" spans="1:10" x14ac:dyDescent="0.2">
      <c r="A14" s="38"/>
      <c r="B14" s="38"/>
      <c r="C14" s="39"/>
      <c r="D14" s="158">
        <f>SUM(D13)</f>
        <v>11.14</v>
      </c>
      <c r="E14" s="18"/>
      <c r="F14" s="18"/>
      <c r="G14" s="18"/>
    </row>
    <row r="15" spans="1:10" x14ac:dyDescent="0.2">
      <c r="A15" s="33"/>
      <c r="B15" s="33"/>
      <c r="C15" s="34"/>
      <c r="D15" s="5" t="s">
        <v>21</v>
      </c>
      <c r="E15" s="6"/>
      <c r="F15" s="6"/>
      <c r="G15" s="6"/>
    </row>
    <row r="16" spans="1:10" x14ac:dyDescent="0.2">
      <c r="A16" s="33" t="s">
        <v>21</v>
      </c>
      <c r="B16" s="33" t="s">
        <v>19</v>
      </c>
      <c r="C16" s="34">
        <v>30</v>
      </c>
      <c r="D16" s="117">
        <v>17.731999999999999</v>
      </c>
      <c r="E16" s="6">
        <v>51.5</v>
      </c>
      <c r="F16" s="6">
        <f>E16/C16</f>
        <v>1.7166666666666666</v>
      </c>
      <c r="G16" s="6">
        <f>D16*F16</f>
        <v>30.439933333333329</v>
      </c>
      <c r="J16" s="116"/>
    </row>
    <row r="17" spans="1:10" x14ac:dyDescent="0.2">
      <c r="A17" s="33"/>
      <c r="B17" s="33" t="s">
        <v>19</v>
      </c>
      <c r="C17" s="34">
        <v>50</v>
      </c>
      <c r="D17" s="117">
        <v>5.69</v>
      </c>
      <c r="E17" s="6">
        <v>83.5</v>
      </c>
      <c r="F17" s="6">
        <f>E17/C17</f>
        <v>1.67</v>
      </c>
      <c r="G17" s="6">
        <f>D17*F17</f>
        <v>9.5023</v>
      </c>
      <c r="J17" s="7"/>
    </row>
    <row r="18" spans="1:10" x14ac:dyDescent="0.2">
      <c r="A18" s="33"/>
      <c r="B18" s="33" t="s">
        <v>54</v>
      </c>
      <c r="C18" s="34">
        <v>30</v>
      </c>
      <c r="D18" s="117">
        <v>14.343</v>
      </c>
      <c r="E18" s="6">
        <v>51.5</v>
      </c>
      <c r="F18" s="6">
        <f>E18/C18</f>
        <v>1.7166666666666666</v>
      </c>
      <c r="G18" s="6">
        <f>D18*F18</f>
        <v>24.622149999999998</v>
      </c>
    </row>
    <row r="19" spans="1:10" x14ac:dyDescent="0.2">
      <c r="A19" s="33"/>
      <c r="B19" s="33" t="s">
        <v>54</v>
      </c>
      <c r="C19" s="34">
        <v>50</v>
      </c>
      <c r="D19" s="117">
        <v>2.6659999999999999</v>
      </c>
      <c r="E19" s="6">
        <v>83.5</v>
      </c>
      <c r="F19" s="6">
        <f>E19/C19</f>
        <v>1.67</v>
      </c>
      <c r="G19" s="6">
        <f>D19*F19</f>
        <v>4.4522199999999996</v>
      </c>
    </row>
    <row r="20" spans="1:10" x14ac:dyDescent="0.2">
      <c r="A20" s="36"/>
      <c r="B20" s="36" t="s">
        <v>22</v>
      </c>
      <c r="C20" s="37">
        <v>30</v>
      </c>
      <c r="D20" s="114">
        <v>1.1439999999999999</v>
      </c>
      <c r="E20" s="16">
        <v>51.5</v>
      </c>
      <c r="F20" s="16">
        <f>E20/C20</f>
        <v>1.7166666666666666</v>
      </c>
      <c r="G20" s="16">
        <f>D20*F20</f>
        <v>1.9638666666666664</v>
      </c>
    </row>
    <row r="21" spans="1:10" x14ac:dyDescent="0.2">
      <c r="A21" s="38"/>
      <c r="B21" s="38"/>
      <c r="C21" s="39"/>
      <c r="D21" s="158">
        <f>SUM(D16:D20)</f>
        <v>41.574999999999996</v>
      </c>
      <c r="E21" s="18"/>
      <c r="F21" s="18"/>
      <c r="G21" s="18"/>
    </row>
    <row r="22" spans="1:10" x14ac:dyDescent="0.2">
      <c r="A22" s="33"/>
      <c r="B22" s="33"/>
      <c r="C22" s="34"/>
      <c r="D22" s="5" t="s">
        <v>88</v>
      </c>
      <c r="E22" s="6"/>
      <c r="F22" s="6"/>
      <c r="G22" s="6"/>
    </row>
    <row r="23" spans="1:10" x14ac:dyDescent="0.2">
      <c r="A23" s="33" t="s">
        <v>88</v>
      </c>
      <c r="B23" s="33" t="s">
        <v>89</v>
      </c>
      <c r="C23" s="34">
        <v>30</v>
      </c>
      <c r="D23" s="117">
        <f>35793/1000</f>
        <v>35.792999999999999</v>
      </c>
      <c r="E23" s="6">
        <v>52.9</v>
      </c>
      <c r="F23" s="6">
        <f t="shared" ref="F23:F28" si="0">E23/C23</f>
        <v>1.7633333333333332</v>
      </c>
      <c r="G23" s="6">
        <f t="shared" ref="G23:G28" si="1">D23*F23</f>
        <v>63.114989999999992</v>
      </c>
    </row>
    <row r="24" spans="1:10" x14ac:dyDescent="0.2">
      <c r="A24" s="33"/>
      <c r="B24" s="33" t="s">
        <v>89</v>
      </c>
      <c r="C24" s="34">
        <v>40</v>
      </c>
      <c r="D24" s="117">
        <v>1.3959999999999999</v>
      </c>
      <c r="E24" s="6">
        <v>69.900000000000006</v>
      </c>
      <c r="F24" s="6">
        <f t="shared" si="0"/>
        <v>1.7475000000000001</v>
      </c>
      <c r="G24" s="6">
        <f t="shared" si="1"/>
        <v>2.4395099999999998</v>
      </c>
    </row>
    <row r="25" spans="1:10" x14ac:dyDescent="0.2">
      <c r="A25" s="33"/>
      <c r="B25" s="33" t="s">
        <v>89</v>
      </c>
      <c r="C25" s="34">
        <v>50</v>
      </c>
      <c r="D25" s="117">
        <v>17.887</v>
      </c>
      <c r="E25" s="6">
        <v>85</v>
      </c>
      <c r="F25" s="6">
        <f t="shared" si="0"/>
        <v>1.7</v>
      </c>
      <c r="G25" s="6">
        <f t="shared" si="1"/>
        <v>30.407900000000001</v>
      </c>
    </row>
    <row r="26" spans="1:10" x14ac:dyDescent="0.2">
      <c r="A26" s="33"/>
      <c r="B26" s="33" t="s">
        <v>22</v>
      </c>
      <c r="C26" s="34">
        <v>30</v>
      </c>
      <c r="D26" s="117">
        <v>18.547999999999998</v>
      </c>
      <c r="E26" s="6">
        <v>52.9</v>
      </c>
      <c r="F26" s="6">
        <f t="shared" si="0"/>
        <v>1.7633333333333332</v>
      </c>
      <c r="G26" s="6">
        <f t="shared" si="1"/>
        <v>32.706306666666663</v>
      </c>
    </row>
    <row r="27" spans="1:10" x14ac:dyDescent="0.2">
      <c r="A27" s="33"/>
      <c r="B27" s="33" t="s">
        <v>22</v>
      </c>
      <c r="C27" s="34">
        <v>50</v>
      </c>
      <c r="D27" s="117">
        <v>5.0439999999999996</v>
      </c>
      <c r="E27" s="6">
        <v>85</v>
      </c>
      <c r="F27" s="6">
        <f t="shared" si="0"/>
        <v>1.7</v>
      </c>
      <c r="G27" s="6">
        <f t="shared" si="1"/>
        <v>8.5747999999999998</v>
      </c>
    </row>
    <row r="28" spans="1:10" x14ac:dyDescent="0.2">
      <c r="A28" s="36"/>
      <c r="B28" s="36" t="s">
        <v>50</v>
      </c>
      <c r="C28" s="37">
        <v>30</v>
      </c>
      <c r="D28" s="114">
        <v>8.4</v>
      </c>
      <c r="E28" s="16">
        <v>52.9</v>
      </c>
      <c r="F28" s="16">
        <f t="shared" si="0"/>
        <v>1.7633333333333332</v>
      </c>
      <c r="G28" s="16">
        <f t="shared" si="1"/>
        <v>14.811999999999999</v>
      </c>
    </row>
    <row r="29" spans="1:10" x14ac:dyDescent="0.2">
      <c r="A29" s="38"/>
      <c r="B29" s="38"/>
      <c r="C29" s="39"/>
      <c r="D29" s="158">
        <f>SUM(D23:D28)</f>
        <v>87.067999999999998</v>
      </c>
      <c r="E29" s="18"/>
      <c r="F29" s="18"/>
      <c r="G29" s="18"/>
    </row>
    <row r="30" spans="1:10" x14ac:dyDescent="0.2">
      <c r="A30" s="33"/>
      <c r="B30" s="33"/>
      <c r="C30" s="34"/>
      <c r="D30" s="5" t="s">
        <v>90</v>
      </c>
      <c r="E30" s="6"/>
      <c r="F30" s="6"/>
      <c r="G30" s="6"/>
    </row>
    <row r="31" spans="1:10" x14ac:dyDescent="0.2">
      <c r="A31" s="33" t="s">
        <v>90</v>
      </c>
      <c r="B31" s="33" t="s">
        <v>93</v>
      </c>
      <c r="C31" s="34">
        <v>30</v>
      </c>
      <c r="D31" s="117">
        <f>3244/1000</f>
        <v>3.2440000000000002</v>
      </c>
      <c r="E31" s="6">
        <v>52.9</v>
      </c>
      <c r="F31" s="6">
        <f t="shared" ref="F31:F36" si="2">E31/C31</f>
        <v>1.7633333333333332</v>
      </c>
      <c r="G31" s="6">
        <f t="shared" ref="G31:G36" si="3">D31*F31</f>
        <v>5.720253333333333</v>
      </c>
    </row>
    <row r="32" spans="1:10" x14ac:dyDescent="0.2">
      <c r="A32" s="33"/>
      <c r="B32" s="33" t="s">
        <v>91</v>
      </c>
      <c r="C32" s="34">
        <v>30</v>
      </c>
      <c r="D32" s="117">
        <f>61072/1000</f>
        <v>61.072000000000003</v>
      </c>
      <c r="E32" s="6">
        <v>52.9</v>
      </c>
      <c r="F32" s="6">
        <f t="shared" si="2"/>
        <v>1.7633333333333332</v>
      </c>
      <c r="G32" s="6">
        <f t="shared" si="3"/>
        <v>107.69029333333333</v>
      </c>
    </row>
    <row r="33" spans="1:10" x14ac:dyDescent="0.2">
      <c r="A33" s="33"/>
      <c r="B33" s="33" t="s">
        <v>91</v>
      </c>
      <c r="C33" s="34">
        <v>40</v>
      </c>
      <c r="D33" s="117">
        <v>4.2089999999999996</v>
      </c>
      <c r="E33" s="6">
        <v>69.900000000000006</v>
      </c>
      <c r="F33" s="6">
        <f t="shared" si="2"/>
        <v>1.7475000000000001</v>
      </c>
      <c r="G33" s="6">
        <f t="shared" si="3"/>
        <v>7.3552274999999998</v>
      </c>
    </row>
    <row r="34" spans="1:10" x14ac:dyDescent="0.2">
      <c r="A34" s="33"/>
      <c r="B34" s="33" t="s">
        <v>91</v>
      </c>
      <c r="C34" s="34">
        <v>50</v>
      </c>
      <c r="D34" s="117">
        <v>30.733000000000001</v>
      </c>
      <c r="E34" s="6">
        <v>85</v>
      </c>
      <c r="F34" s="6">
        <f t="shared" si="2"/>
        <v>1.7</v>
      </c>
      <c r="G34" s="6">
        <f t="shared" si="3"/>
        <v>52.246099999999998</v>
      </c>
    </row>
    <row r="35" spans="1:10" x14ac:dyDescent="0.2">
      <c r="A35" s="33"/>
      <c r="B35" s="33" t="s">
        <v>92</v>
      </c>
      <c r="C35" s="34">
        <v>30</v>
      </c>
      <c r="D35" s="117">
        <v>4.0460000000000003</v>
      </c>
      <c r="E35" s="6">
        <v>52.9</v>
      </c>
      <c r="F35" s="6">
        <f t="shared" si="2"/>
        <v>1.7633333333333332</v>
      </c>
      <c r="G35" s="6">
        <f t="shared" si="3"/>
        <v>7.1344466666666664</v>
      </c>
    </row>
    <row r="36" spans="1:10" x14ac:dyDescent="0.2">
      <c r="A36" s="36"/>
      <c r="B36" s="36" t="s">
        <v>92</v>
      </c>
      <c r="C36" s="37">
        <v>50</v>
      </c>
      <c r="D36" s="14">
        <f>756/1000</f>
        <v>0.75600000000000001</v>
      </c>
      <c r="E36" s="16">
        <v>85</v>
      </c>
      <c r="F36" s="16">
        <f t="shared" si="2"/>
        <v>1.7</v>
      </c>
      <c r="G36" s="16">
        <f t="shared" si="3"/>
        <v>1.2851999999999999</v>
      </c>
    </row>
    <row r="37" spans="1:10" x14ac:dyDescent="0.2">
      <c r="A37" s="38"/>
      <c r="B37" s="38"/>
      <c r="C37" s="39"/>
      <c r="D37" s="158">
        <f>SUM(D31:D36)</f>
        <v>104.06000000000002</v>
      </c>
      <c r="E37" s="18"/>
      <c r="F37" s="18"/>
      <c r="G37" s="18"/>
    </row>
    <row r="38" spans="1:10" x14ac:dyDescent="0.2">
      <c r="A38" s="33"/>
      <c r="B38" s="33"/>
      <c r="C38" s="34"/>
      <c r="D38" s="5" t="s">
        <v>41</v>
      </c>
      <c r="E38" s="6"/>
      <c r="F38" s="6"/>
      <c r="G38" s="6"/>
    </row>
    <row r="39" spans="1:10" x14ac:dyDescent="0.2">
      <c r="A39" s="36" t="s">
        <v>41</v>
      </c>
      <c r="B39" s="36" t="s">
        <v>19</v>
      </c>
      <c r="C39" s="37">
        <v>30</v>
      </c>
      <c r="D39" s="114">
        <v>1.7130000000000001</v>
      </c>
      <c r="E39" s="16">
        <v>48.9</v>
      </c>
      <c r="F39" s="16">
        <f>E39/C39</f>
        <v>1.63</v>
      </c>
      <c r="G39" s="16">
        <f>D39*F39</f>
        <v>2.7921899999999997</v>
      </c>
    </row>
    <row r="40" spans="1:10" x14ac:dyDescent="0.2">
      <c r="A40" s="38"/>
      <c r="B40" s="38"/>
      <c r="C40" s="39"/>
      <c r="D40" s="158">
        <f>SUM(D39)</f>
        <v>1.7130000000000001</v>
      </c>
      <c r="E40" s="18"/>
      <c r="F40" s="18"/>
      <c r="G40" s="18"/>
    </row>
    <row r="41" spans="1:10" x14ac:dyDescent="0.2">
      <c r="A41" s="33"/>
      <c r="B41" s="33"/>
      <c r="C41" s="34"/>
      <c r="D41" s="5" t="s">
        <v>43</v>
      </c>
      <c r="E41" s="6"/>
      <c r="F41" s="6"/>
      <c r="G41" s="6"/>
    </row>
    <row r="42" spans="1:10" x14ac:dyDescent="0.2">
      <c r="A42" s="33" t="s">
        <v>43</v>
      </c>
      <c r="B42" s="33" t="s">
        <v>19</v>
      </c>
      <c r="C42" s="34">
        <v>30</v>
      </c>
      <c r="D42" s="117">
        <v>25.751999999999999</v>
      </c>
      <c r="E42" s="6">
        <v>49.9</v>
      </c>
      <c r="F42" s="6">
        <f>E42/C42</f>
        <v>1.6633333333333333</v>
      </c>
      <c r="G42" s="6">
        <f>D42*F42</f>
        <v>42.834159999999997</v>
      </c>
    </row>
    <row r="43" spans="1:10" x14ac:dyDescent="0.2">
      <c r="A43" s="33"/>
      <c r="B43" s="33" t="s">
        <v>19</v>
      </c>
      <c r="C43" s="34">
        <v>40</v>
      </c>
      <c r="D43" s="117">
        <v>1.0920000000000001</v>
      </c>
      <c r="E43" s="6">
        <v>66.5</v>
      </c>
      <c r="F43" s="6">
        <f>E43/C43</f>
        <v>1.6625000000000001</v>
      </c>
      <c r="G43" s="6">
        <f>D43*F43</f>
        <v>1.8154500000000002</v>
      </c>
      <c r="J43" s="7"/>
    </row>
    <row r="44" spans="1:10" x14ac:dyDescent="0.2">
      <c r="A44" s="33"/>
      <c r="B44" s="33" t="s">
        <v>19</v>
      </c>
      <c r="C44" s="34">
        <v>50</v>
      </c>
      <c r="D44" s="117">
        <v>10.111000000000001</v>
      </c>
      <c r="E44" s="6">
        <v>79.900000000000006</v>
      </c>
      <c r="F44" s="6">
        <f>E44/C44</f>
        <v>1.5980000000000001</v>
      </c>
      <c r="G44" s="6">
        <f>D44*F44</f>
        <v>16.157378000000001</v>
      </c>
    </row>
    <row r="45" spans="1:10" x14ac:dyDescent="0.2">
      <c r="A45" s="33"/>
      <c r="B45" s="33" t="s">
        <v>87</v>
      </c>
      <c r="C45" s="34">
        <v>30</v>
      </c>
      <c r="D45" s="117">
        <v>18.992000000000001</v>
      </c>
      <c r="E45" s="6">
        <v>49.5</v>
      </c>
      <c r="F45" s="6">
        <f>E45/C45</f>
        <v>1.65</v>
      </c>
      <c r="G45" s="6">
        <f>D45*F45</f>
        <v>31.3368</v>
      </c>
    </row>
    <row r="46" spans="1:10" x14ac:dyDescent="0.2">
      <c r="A46" s="36"/>
      <c r="B46" s="36" t="s">
        <v>87</v>
      </c>
      <c r="C46" s="37">
        <v>50</v>
      </c>
      <c r="D46" s="114">
        <v>4.9630000000000001</v>
      </c>
      <c r="E46" s="16">
        <v>77</v>
      </c>
      <c r="F46" s="16">
        <f>E46/C46</f>
        <v>1.54</v>
      </c>
      <c r="G46" s="16">
        <f>D46*F46</f>
        <v>7.6430199999999999</v>
      </c>
    </row>
    <row r="47" spans="1:10" x14ac:dyDescent="0.2">
      <c r="A47" s="38"/>
      <c r="B47" s="38"/>
      <c r="C47" s="39"/>
      <c r="D47" s="158">
        <f>SUM(D42:D46)</f>
        <v>60.910000000000004</v>
      </c>
      <c r="E47" s="18"/>
      <c r="F47" s="18"/>
      <c r="G47" s="18"/>
    </row>
    <row r="48" spans="1:10" x14ac:dyDescent="0.2">
      <c r="A48" s="146" t="s">
        <v>204</v>
      </c>
      <c r="B48" s="146"/>
      <c r="C48" s="68"/>
      <c r="D48" s="148">
        <f>SUM(D8:D10,D13,D16:D20,D23:D28,D31:D36,D39,D42:D46)</f>
        <v>339.43800000000005</v>
      </c>
      <c r="E48" s="147"/>
      <c r="F48" s="147">
        <f>AVERAGE(F8:F10,F13,F16:F20,F23:F28,F31:F36,F39,F42:F46)</f>
        <v>1.6847716049382715</v>
      </c>
      <c r="G48" s="147">
        <f>SUM(G8:G10,G13,G16:G20,G23:G28,G31:G36,G39,G42:G46)</f>
        <v>578.04048883333337</v>
      </c>
    </row>
    <row r="49" spans="3:7" x14ac:dyDescent="0.2">
      <c r="C49" s="3"/>
      <c r="D49" s="3"/>
      <c r="E49" s="6"/>
      <c r="F49" s="3"/>
      <c r="G49" s="3"/>
    </row>
    <row r="50" spans="3:7" x14ac:dyDescent="0.2">
      <c r="C50" s="3"/>
      <c r="D50" s="3"/>
      <c r="E50" s="6"/>
      <c r="F50" s="3"/>
      <c r="G50" s="3"/>
    </row>
    <row r="51" spans="3:7" x14ac:dyDescent="0.2">
      <c r="C51" s="3"/>
      <c r="D51" s="3"/>
      <c r="E51" s="6"/>
      <c r="F51" s="3"/>
      <c r="G51" s="3"/>
    </row>
    <row r="52" spans="3:7" x14ac:dyDescent="0.2">
      <c r="C52" s="3"/>
      <c r="D52" s="3"/>
      <c r="E52" s="6"/>
      <c r="F52" s="3"/>
      <c r="G52" s="3"/>
    </row>
    <row r="53" spans="3:7" x14ac:dyDescent="0.2">
      <c r="C53" s="3"/>
      <c r="D53" s="3"/>
      <c r="E53" s="6"/>
      <c r="F53" s="3"/>
      <c r="G53" s="3"/>
    </row>
    <row r="54" spans="3:7" x14ac:dyDescent="0.2">
      <c r="C54" s="3"/>
      <c r="D54" s="3"/>
      <c r="E54" s="6"/>
      <c r="F54" s="3"/>
      <c r="G54" s="3"/>
    </row>
    <row r="55" spans="3:7" x14ac:dyDescent="0.2">
      <c r="C55" s="3"/>
      <c r="D55" s="3"/>
      <c r="E55" s="6"/>
      <c r="F55" s="3"/>
      <c r="G55" s="3"/>
    </row>
    <row r="56" spans="3:7" x14ac:dyDescent="0.2">
      <c r="C56" s="3"/>
      <c r="D56" s="3"/>
      <c r="E56" s="6"/>
      <c r="F56" s="3"/>
      <c r="G56" s="3"/>
    </row>
    <row r="57" spans="3:7" x14ac:dyDescent="0.2">
      <c r="C57" s="3"/>
      <c r="D57" s="3"/>
      <c r="E57" s="6"/>
      <c r="F57" s="3"/>
      <c r="G57" s="3"/>
    </row>
    <row r="58" spans="3:7" x14ac:dyDescent="0.2">
      <c r="C58" s="3"/>
      <c r="D58" s="3"/>
      <c r="E58" s="6"/>
      <c r="F58" s="3"/>
      <c r="G58" s="3"/>
    </row>
    <row r="59" spans="3:7" x14ac:dyDescent="0.2">
      <c r="C59" s="3"/>
      <c r="D59" s="3"/>
      <c r="E59" s="6"/>
      <c r="F59" s="3"/>
      <c r="G59" s="3"/>
    </row>
    <row r="60" spans="3:7" x14ac:dyDescent="0.2">
      <c r="C60" s="3"/>
      <c r="D60" s="3"/>
      <c r="E60" s="6"/>
      <c r="F60" s="3"/>
      <c r="G60" s="3"/>
    </row>
    <row r="61" spans="3:7" x14ac:dyDescent="0.2">
      <c r="C61" s="3"/>
      <c r="D61" s="3"/>
      <c r="E61" s="6"/>
      <c r="F61" s="3"/>
      <c r="G61" s="3"/>
    </row>
    <row r="62" spans="3:7" x14ac:dyDescent="0.2">
      <c r="C62" s="3"/>
      <c r="D62" s="3"/>
      <c r="E62" s="6"/>
      <c r="F62" s="3"/>
      <c r="G62" s="3"/>
    </row>
    <row r="63" spans="3:7" x14ac:dyDescent="0.2">
      <c r="C63" s="3"/>
      <c r="D63" s="3"/>
      <c r="E63" s="6"/>
      <c r="F63" s="3"/>
      <c r="G63" s="3"/>
    </row>
    <row r="64" spans="3:7" x14ac:dyDescent="0.2">
      <c r="E64" s="7"/>
    </row>
    <row r="65" spans="5:5" x14ac:dyDescent="0.2">
      <c r="E65" s="7"/>
    </row>
    <row r="66" spans="5:5" x14ac:dyDescent="0.2">
      <c r="E66" s="7"/>
    </row>
  </sheetData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H8" sqref="H8"/>
    </sheetView>
  </sheetViews>
  <sheetFormatPr defaultRowHeight="12.75" x14ac:dyDescent="0.2"/>
  <cols>
    <col min="1" max="1" width="19.5703125" customWidth="1"/>
    <col min="2" max="2" width="17.42578125" customWidth="1"/>
    <col min="3" max="3" width="18.140625" customWidth="1"/>
    <col min="4" max="4" width="15.7109375" customWidth="1"/>
    <col min="5" max="5" width="19.5703125" customWidth="1"/>
    <col min="6" max="6" width="13.85546875" customWidth="1"/>
    <col min="7" max="7" width="19.5703125" customWidth="1"/>
    <col min="10" max="10" width="24.28515625" customWidth="1"/>
    <col min="11" max="11" width="13" customWidth="1"/>
  </cols>
  <sheetData>
    <row r="1" spans="1:7" ht="18" x14ac:dyDescent="0.25">
      <c r="A1" s="185" t="s">
        <v>252</v>
      </c>
    </row>
    <row r="3" spans="1:7" x14ac:dyDescent="0.2">
      <c r="A3" s="44" t="s">
        <v>0</v>
      </c>
      <c r="B3" s="44" t="s">
        <v>86</v>
      </c>
      <c r="C3" s="44" t="s">
        <v>2</v>
      </c>
      <c r="D3" s="44" t="s">
        <v>208</v>
      </c>
      <c r="E3" s="44" t="s">
        <v>185</v>
      </c>
      <c r="F3" s="144" t="s">
        <v>189</v>
      </c>
      <c r="G3" s="144" t="s">
        <v>209</v>
      </c>
    </row>
    <row r="4" spans="1:7" x14ac:dyDescent="0.2">
      <c r="A4" s="44"/>
      <c r="B4" s="44"/>
      <c r="C4" s="74" t="s">
        <v>188</v>
      </c>
      <c r="D4" s="74" t="s">
        <v>181</v>
      </c>
      <c r="E4" s="74" t="s">
        <v>276</v>
      </c>
      <c r="F4" s="74" t="s">
        <v>276</v>
      </c>
      <c r="G4" s="74" t="s">
        <v>278</v>
      </c>
    </row>
    <row r="5" spans="1:7" x14ac:dyDescent="0.2">
      <c r="A5" s="44"/>
      <c r="B5" s="44"/>
      <c r="C5" s="74"/>
      <c r="D5" s="74"/>
      <c r="E5" s="74"/>
      <c r="F5" s="74" t="s">
        <v>198</v>
      </c>
      <c r="G5" s="74" t="s">
        <v>199</v>
      </c>
    </row>
    <row r="6" spans="1:7" x14ac:dyDescent="0.2">
      <c r="A6" s="32" t="s">
        <v>45</v>
      </c>
      <c r="B6" s="33"/>
      <c r="C6" s="33"/>
      <c r="F6" s="7"/>
    </row>
    <row r="7" spans="1:7" x14ac:dyDescent="0.2">
      <c r="A7" s="33"/>
      <c r="B7" s="33"/>
      <c r="C7" s="34"/>
      <c r="D7" s="5" t="s">
        <v>94</v>
      </c>
      <c r="E7" s="3"/>
      <c r="F7" s="6"/>
      <c r="G7" s="3"/>
    </row>
    <row r="8" spans="1:7" x14ac:dyDescent="0.2">
      <c r="A8" s="33" t="s">
        <v>94</v>
      </c>
      <c r="B8" s="33" t="s">
        <v>10</v>
      </c>
      <c r="C8" s="34">
        <v>30</v>
      </c>
      <c r="D8" s="117">
        <v>2.879</v>
      </c>
      <c r="E8" s="6">
        <v>48.7</v>
      </c>
      <c r="F8" s="6">
        <f>E8/C8</f>
        <v>1.6233333333333335</v>
      </c>
      <c r="G8" s="178">
        <f>D8*F8</f>
        <v>4.6735766666666674</v>
      </c>
    </row>
    <row r="9" spans="1:7" x14ac:dyDescent="0.2">
      <c r="A9" s="33"/>
      <c r="B9" s="33" t="s">
        <v>10</v>
      </c>
      <c r="C9" s="34">
        <v>50</v>
      </c>
      <c r="D9" s="117">
        <v>1.5209999999999999</v>
      </c>
      <c r="E9" s="6">
        <v>79</v>
      </c>
      <c r="F9" s="6">
        <f>E9/C9</f>
        <v>1.58</v>
      </c>
      <c r="G9" s="178">
        <f>D9*F9</f>
        <v>2.4031799999999999</v>
      </c>
    </row>
    <row r="10" spans="1:7" x14ac:dyDescent="0.2">
      <c r="A10" s="33"/>
      <c r="B10" s="33" t="s">
        <v>9</v>
      </c>
      <c r="C10" s="34">
        <v>30</v>
      </c>
      <c r="D10" s="117">
        <v>1.242</v>
      </c>
      <c r="E10" s="6">
        <v>48.7</v>
      </c>
      <c r="F10" s="6">
        <f>E10/C10</f>
        <v>1.6233333333333335</v>
      </c>
      <c r="G10" s="178">
        <f>D10*F10</f>
        <v>2.0161800000000003</v>
      </c>
    </row>
    <row r="11" spans="1:7" x14ac:dyDescent="0.2">
      <c r="A11" s="36"/>
      <c r="B11" s="36" t="s">
        <v>9</v>
      </c>
      <c r="C11" s="37">
        <v>50</v>
      </c>
      <c r="D11" s="14">
        <f>587/1000</f>
        <v>0.58699999999999997</v>
      </c>
      <c r="E11" s="16">
        <v>79</v>
      </c>
      <c r="F11" s="16">
        <f>E11/C11</f>
        <v>1.58</v>
      </c>
      <c r="G11" s="175">
        <f>D11*F11</f>
        <v>0.92745999999999995</v>
      </c>
    </row>
    <row r="12" spans="1:7" x14ac:dyDescent="0.2">
      <c r="A12" s="38"/>
      <c r="B12" s="38"/>
      <c r="C12" s="39"/>
      <c r="D12" s="158">
        <f>SUM(D8:D11)</f>
        <v>6.2290000000000001</v>
      </c>
      <c r="E12" s="18"/>
      <c r="F12" s="18"/>
      <c r="G12" s="179"/>
    </row>
    <row r="13" spans="1:7" x14ac:dyDescent="0.2">
      <c r="A13" s="33"/>
      <c r="B13" s="33"/>
      <c r="C13" s="34"/>
      <c r="D13" s="5" t="s">
        <v>48</v>
      </c>
      <c r="E13" s="6"/>
      <c r="F13" s="6"/>
      <c r="G13" s="178"/>
    </row>
    <row r="14" spans="1:7" x14ac:dyDescent="0.2">
      <c r="A14" s="33" t="s">
        <v>48</v>
      </c>
      <c r="B14" s="33" t="s">
        <v>49</v>
      </c>
      <c r="C14" s="34">
        <v>30</v>
      </c>
      <c r="D14" s="117">
        <v>1.925</v>
      </c>
      <c r="E14" s="6">
        <v>46.9</v>
      </c>
      <c r="F14" s="6">
        <f t="shared" ref="F14:F21" si="0">E14/C14</f>
        <v>1.5633333333333332</v>
      </c>
      <c r="G14" s="178">
        <f t="shared" ref="G14:G21" si="1">D14*F14</f>
        <v>3.0094166666666666</v>
      </c>
    </row>
    <row r="15" spans="1:7" x14ac:dyDescent="0.2">
      <c r="A15" s="33"/>
      <c r="B15" s="33" t="s">
        <v>49</v>
      </c>
      <c r="C15" s="34">
        <v>40</v>
      </c>
      <c r="D15" s="3">
        <f>735/1000</f>
        <v>0.73499999999999999</v>
      </c>
      <c r="E15" s="6">
        <v>63.4</v>
      </c>
      <c r="F15" s="6">
        <f t="shared" si="0"/>
        <v>1.585</v>
      </c>
      <c r="G15" s="178">
        <f t="shared" si="1"/>
        <v>1.1649749999999999</v>
      </c>
    </row>
    <row r="16" spans="1:7" x14ac:dyDescent="0.2">
      <c r="A16" s="33"/>
      <c r="B16" s="33" t="s">
        <v>50</v>
      </c>
      <c r="C16" s="34">
        <v>30</v>
      </c>
      <c r="D16" s="117">
        <v>4.7009999999999996</v>
      </c>
      <c r="E16" s="6">
        <v>46.9</v>
      </c>
      <c r="F16" s="6">
        <f t="shared" si="0"/>
        <v>1.5633333333333332</v>
      </c>
      <c r="G16" s="178">
        <f t="shared" si="1"/>
        <v>7.3492299999999986</v>
      </c>
    </row>
    <row r="17" spans="1:7" x14ac:dyDescent="0.2">
      <c r="A17" s="33"/>
      <c r="B17" s="33" t="s">
        <v>50</v>
      </c>
      <c r="C17" s="34">
        <v>40</v>
      </c>
      <c r="D17" s="3">
        <f>554/1000</f>
        <v>0.55400000000000005</v>
      </c>
      <c r="E17" s="6">
        <v>63.4</v>
      </c>
      <c r="F17" s="6">
        <f t="shared" si="0"/>
        <v>1.585</v>
      </c>
      <c r="G17" s="178">
        <f t="shared" si="1"/>
        <v>0.87809000000000004</v>
      </c>
    </row>
    <row r="18" spans="1:7" x14ac:dyDescent="0.2">
      <c r="A18" s="33"/>
      <c r="B18" s="33" t="s">
        <v>50</v>
      </c>
      <c r="C18" s="34">
        <v>50</v>
      </c>
      <c r="D18" s="117">
        <v>1.052</v>
      </c>
      <c r="E18" s="6">
        <v>77</v>
      </c>
      <c r="F18" s="6">
        <f t="shared" si="0"/>
        <v>1.54</v>
      </c>
      <c r="G18" s="178">
        <f t="shared" si="1"/>
        <v>1.6200800000000002</v>
      </c>
    </row>
    <row r="19" spans="1:7" x14ac:dyDescent="0.2">
      <c r="A19" s="33"/>
      <c r="B19" s="33" t="s">
        <v>95</v>
      </c>
      <c r="C19" s="34">
        <v>30</v>
      </c>
      <c r="D19" s="117">
        <v>6.0730000000000004</v>
      </c>
      <c r="E19" s="6">
        <v>46.9</v>
      </c>
      <c r="F19" s="6">
        <f t="shared" si="0"/>
        <v>1.5633333333333332</v>
      </c>
      <c r="G19" s="178">
        <f t="shared" si="1"/>
        <v>9.4941233333333326</v>
      </c>
    </row>
    <row r="20" spans="1:7" x14ac:dyDescent="0.2">
      <c r="A20" s="33"/>
      <c r="B20" s="33" t="s">
        <v>95</v>
      </c>
      <c r="C20" s="34">
        <v>40</v>
      </c>
      <c r="D20" s="3">
        <f>589/1000</f>
        <v>0.58899999999999997</v>
      </c>
      <c r="E20" s="6">
        <v>63.4</v>
      </c>
      <c r="F20" s="6">
        <f t="shared" si="0"/>
        <v>1.585</v>
      </c>
      <c r="G20" s="178">
        <f t="shared" si="1"/>
        <v>0.93356499999999998</v>
      </c>
    </row>
    <row r="21" spans="1:7" x14ac:dyDescent="0.2">
      <c r="A21" s="36"/>
      <c r="B21" s="36" t="s">
        <v>95</v>
      </c>
      <c r="C21" s="37">
        <v>50</v>
      </c>
      <c r="D21" s="114">
        <v>1.2490000000000001</v>
      </c>
      <c r="E21" s="16">
        <v>77</v>
      </c>
      <c r="F21" s="16">
        <f t="shared" si="0"/>
        <v>1.54</v>
      </c>
      <c r="G21" s="175">
        <f t="shared" si="1"/>
        <v>1.9234600000000002</v>
      </c>
    </row>
    <row r="22" spans="1:7" x14ac:dyDescent="0.2">
      <c r="A22" s="38"/>
      <c r="B22" s="38"/>
      <c r="C22" s="39"/>
      <c r="D22" s="158">
        <f>SUM(D14:D21)</f>
        <v>16.878</v>
      </c>
      <c r="E22" s="18"/>
      <c r="F22" s="18"/>
      <c r="G22" s="179"/>
    </row>
    <row r="23" spans="1:7" x14ac:dyDescent="0.2">
      <c r="A23" s="36"/>
      <c r="B23" s="36"/>
      <c r="C23" s="37"/>
      <c r="D23" s="15" t="s">
        <v>52</v>
      </c>
      <c r="E23" s="16"/>
      <c r="F23" s="16"/>
      <c r="G23" s="175"/>
    </row>
    <row r="24" spans="1:7" x14ac:dyDescent="0.2">
      <c r="A24" s="33" t="s">
        <v>52</v>
      </c>
      <c r="B24" s="33" t="s">
        <v>22</v>
      </c>
      <c r="C24" s="34">
        <v>30</v>
      </c>
      <c r="D24" s="117">
        <v>1.677</v>
      </c>
      <c r="E24" s="6">
        <v>44</v>
      </c>
      <c r="F24" s="6">
        <f t="shared" ref="F24:F29" si="2">E24/C24</f>
        <v>1.4666666666666666</v>
      </c>
      <c r="G24" s="178">
        <f t="shared" ref="G24:G29" si="3">D24*F24</f>
        <v>2.4596</v>
      </c>
    </row>
    <row r="25" spans="1:7" x14ac:dyDescent="0.2">
      <c r="A25" s="33"/>
      <c r="B25" s="33" t="s">
        <v>54</v>
      </c>
      <c r="C25" s="34">
        <v>30</v>
      </c>
      <c r="D25" s="117">
        <v>3.0390000000000001</v>
      </c>
      <c r="E25" s="6">
        <v>44</v>
      </c>
      <c r="F25" s="6">
        <f t="shared" si="2"/>
        <v>1.4666666666666666</v>
      </c>
      <c r="G25" s="178">
        <f t="shared" si="3"/>
        <v>4.4572000000000003</v>
      </c>
    </row>
    <row r="26" spans="1:7" x14ac:dyDescent="0.2">
      <c r="A26" s="33"/>
      <c r="B26" s="33" t="s">
        <v>19</v>
      </c>
      <c r="C26" s="34">
        <v>30</v>
      </c>
      <c r="D26" s="117">
        <v>14.695</v>
      </c>
      <c r="E26" s="6">
        <v>44</v>
      </c>
      <c r="F26" s="6">
        <f t="shared" si="2"/>
        <v>1.4666666666666666</v>
      </c>
      <c r="G26" s="178">
        <f t="shared" si="3"/>
        <v>21.552666666666667</v>
      </c>
    </row>
    <row r="27" spans="1:7" x14ac:dyDescent="0.2">
      <c r="A27" s="33"/>
      <c r="B27" s="33" t="s">
        <v>19</v>
      </c>
      <c r="C27" s="34">
        <v>40</v>
      </c>
      <c r="D27" s="117">
        <v>1.605</v>
      </c>
      <c r="E27" s="6">
        <v>59.4</v>
      </c>
      <c r="F27" s="6">
        <f t="shared" si="2"/>
        <v>1.4849999999999999</v>
      </c>
      <c r="G27" s="178">
        <f t="shared" si="3"/>
        <v>2.3834249999999999</v>
      </c>
    </row>
    <row r="28" spans="1:7" x14ac:dyDescent="0.2">
      <c r="A28" s="33"/>
      <c r="B28" s="33" t="s">
        <v>19</v>
      </c>
      <c r="C28" s="34">
        <v>50</v>
      </c>
      <c r="D28" s="117">
        <v>2.9510000000000001</v>
      </c>
      <c r="E28" s="6">
        <v>69.5</v>
      </c>
      <c r="F28" s="6">
        <f t="shared" si="2"/>
        <v>1.39</v>
      </c>
      <c r="G28" s="178">
        <f t="shared" si="3"/>
        <v>4.10189</v>
      </c>
    </row>
    <row r="29" spans="1:7" x14ac:dyDescent="0.2">
      <c r="A29" s="36"/>
      <c r="B29" s="36" t="s">
        <v>96</v>
      </c>
      <c r="C29" s="37">
        <v>30</v>
      </c>
      <c r="D29" s="114">
        <v>10.074999999999999</v>
      </c>
      <c r="E29" s="16">
        <v>44</v>
      </c>
      <c r="F29" s="16">
        <f t="shared" si="2"/>
        <v>1.4666666666666666</v>
      </c>
      <c r="G29" s="175">
        <f t="shared" si="3"/>
        <v>14.776666666666664</v>
      </c>
    </row>
    <row r="30" spans="1:7" x14ac:dyDescent="0.2">
      <c r="A30" s="38"/>
      <c r="B30" s="38"/>
      <c r="C30" s="39"/>
      <c r="D30" s="158">
        <f>SUM(D24:D29)</f>
        <v>34.042000000000002</v>
      </c>
      <c r="E30" s="18"/>
      <c r="F30" s="18"/>
      <c r="G30" s="179"/>
    </row>
    <row r="31" spans="1:7" x14ac:dyDescent="0.2">
      <c r="A31" s="36"/>
      <c r="B31" s="36"/>
      <c r="C31" s="37"/>
      <c r="D31" s="15" t="s">
        <v>97</v>
      </c>
      <c r="E31" s="16"/>
      <c r="F31" s="16"/>
      <c r="G31" s="175"/>
    </row>
    <row r="32" spans="1:7" x14ac:dyDescent="0.2">
      <c r="A32" s="33" t="s">
        <v>97</v>
      </c>
      <c r="B32" s="33" t="s">
        <v>95</v>
      </c>
      <c r="C32" s="34">
        <v>30</v>
      </c>
      <c r="D32" s="117">
        <v>6.617</v>
      </c>
      <c r="E32" s="6">
        <v>48.2</v>
      </c>
      <c r="F32" s="6">
        <f>E32/C32</f>
        <v>1.6066666666666667</v>
      </c>
      <c r="G32" s="178">
        <f>D32*F32</f>
        <v>10.631313333333333</v>
      </c>
    </row>
    <row r="33" spans="1:7" x14ac:dyDescent="0.2">
      <c r="A33" s="36"/>
      <c r="B33" s="36" t="s">
        <v>95</v>
      </c>
      <c r="C33" s="37">
        <v>50</v>
      </c>
      <c r="D33" s="114">
        <v>3.0169999999999999</v>
      </c>
      <c r="E33" s="16">
        <v>78</v>
      </c>
      <c r="F33" s="16">
        <f>E33/C33</f>
        <v>1.56</v>
      </c>
      <c r="G33" s="175">
        <f>D33*F33</f>
        <v>4.7065200000000003</v>
      </c>
    </row>
    <row r="34" spans="1:7" x14ac:dyDescent="0.2">
      <c r="A34" s="38"/>
      <c r="B34" s="38"/>
      <c r="C34" s="39"/>
      <c r="D34" s="158">
        <f>SUM(D32:D33)</f>
        <v>9.6340000000000003</v>
      </c>
      <c r="E34" s="18"/>
      <c r="F34" s="18"/>
      <c r="G34" s="179"/>
    </row>
    <row r="35" spans="1:7" x14ac:dyDescent="0.2">
      <c r="A35" s="36"/>
      <c r="B35" s="36"/>
      <c r="C35" s="37"/>
      <c r="D35" s="15" t="s">
        <v>98</v>
      </c>
      <c r="E35" s="16"/>
      <c r="F35" s="16"/>
      <c r="G35" s="175"/>
    </row>
    <row r="36" spans="1:7" x14ac:dyDescent="0.2">
      <c r="A36" s="33" t="s">
        <v>98</v>
      </c>
      <c r="B36" s="33" t="s">
        <v>99</v>
      </c>
      <c r="C36" s="34">
        <v>30</v>
      </c>
      <c r="D36" s="11">
        <f>232/1000</f>
        <v>0.23200000000000001</v>
      </c>
      <c r="E36" s="6">
        <v>45.5</v>
      </c>
      <c r="F36" s="6">
        <f>E36/C36</f>
        <v>1.5166666666666666</v>
      </c>
      <c r="G36" s="178">
        <f>D36*F36</f>
        <v>0.35186666666666666</v>
      </c>
    </row>
    <row r="37" spans="1:7" x14ac:dyDescent="0.2">
      <c r="A37" s="33"/>
      <c r="B37" s="33" t="s">
        <v>95</v>
      </c>
      <c r="C37" s="34">
        <v>30</v>
      </c>
      <c r="D37" s="117">
        <f>53181/1000</f>
        <v>53.180999999999997</v>
      </c>
      <c r="E37" s="6">
        <v>45.5</v>
      </c>
      <c r="F37" s="6">
        <f>E37/C37</f>
        <v>1.5166666666666666</v>
      </c>
      <c r="G37" s="178">
        <f>D37*F37</f>
        <v>80.657849999999996</v>
      </c>
    </row>
    <row r="38" spans="1:7" x14ac:dyDescent="0.2">
      <c r="A38" s="33"/>
      <c r="B38" s="33" t="s">
        <v>95</v>
      </c>
      <c r="C38" s="34">
        <v>40</v>
      </c>
      <c r="D38" s="117">
        <v>15.617000000000001</v>
      </c>
      <c r="E38" s="6">
        <v>58.5</v>
      </c>
      <c r="F38" s="6">
        <f>E38/C38</f>
        <v>1.4624999999999999</v>
      </c>
      <c r="G38" s="178">
        <f>D38*F38</f>
        <v>22.839862499999999</v>
      </c>
    </row>
    <row r="39" spans="1:7" x14ac:dyDescent="0.2">
      <c r="A39" s="36"/>
      <c r="B39" s="36" t="s">
        <v>95</v>
      </c>
      <c r="C39" s="37">
        <v>50</v>
      </c>
      <c r="D39" s="114">
        <v>15.75</v>
      </c>
      <c r="E39" s="16">
        <v>70.5</v>
      </c>
      <c r="F39" s="16">
        <f>E39/C39</f>
        <v>1.41</v>
      </c>
      <c r="G39" s="175">
        <f>D39*F39</f>
        <v>22.2075</v>
      </c>
    </row>
    <row r="40" spans="1:7" x14ac:dyDescent="0.2">
      <c r="A40" s="36"/>
      <c r="B40" s="36"/>
      <c r="C40" s="37"/>
      <c r="D40" s="119">
        <f>SUM(D36:D39)</f>
        <v>84.78</v>
      </c>
      <c r="E40" s="16"/>
      <c r="F40" s="16"/>
      <c r="G40" s="175"/>
    </row>
    <row r="41" spans="1:7" x14ac:dyDescent="0.2">
      <c r="A41" s="122" t="s">
        <v>159</v>
      </c>
      <c r="B41" s="122"/>
      <c r="C41" s="125"/>
      <c r="D41" s="159">
        <f>SUM(D8:D11,D14:D21,D24:D29,D32:D33,D36:D39)</f>
        <v>151.56299999999999</v>
      </c>
      <c r="E41" s="123"/>
      <c r="F41" s="123">
        <f>AVERAGE(F8:F39)</f>
        <v>1.5310763888888881</v>
      </c>
      <c r="G41" s="177">
        <f>SUM(G8:G39)</f>
        <v>227.51969750000001</v>
      </c>
    </row>
    <row r="42" spans="1:7" x14ac:dyDescent="0.2">
      <c r="A42" s="13"/>
      <c r="B42" s="13"/>
      <c r="C42" s="14"/>
      <c r="D42" s="14"/>
      <c r="E42" s="16"/>
      <c r="F42" s="14"/>
      <c r="G42" s="133"/>
    </row>
    <row r="43" spans="1:7" x14ac:dyDescent="0.2">
      <c r="A43" s="13"/>
      <c r="B43" s="13"/>
      <c r="C43" s="14"/>
      <c r="D43" s="14"/>
      <c r="E43" s="16"/>
      <c r="F43" s="14"/>
      <c r="G43" s="133"/>
    </row>
    <row r="48" spans="1:7" x14ac:dyDescent="0.2">
      <c r="C48" s="3"/>
      <c r="D48" s="3"/>
      <c r="E48" s="6"/>
      <c r="F48" s="3"/>
      <c r="G48" s="6"/>
    </row>
    <row r="49" spans="3:7" x14ac:dyDescent="0.2">
      <c r="C49" s="3"/>
      <c r="D49" s="3"/>
      <c r="E49" s="6"/>
      <c r="F49" s="3"/>
      <c r="G49" s="3"/>
    </row>
    <row r="50" spans="3:7" x14ac:dyDescent="0.2">
      <c r="C50" s="3"/>
      <c r="D50" s="3"/>
      <c r="E50" s="6"/>
      <c r="F50" s="3"/>
      <c r="G50" s="3"/>
    </row>
    <row r="51" spans="3:7" x14ac:dyDescent="0.2">
      <c r="C51" s="3"/>
      <c r="D51" s="3"/>
      <c r="E51" s="3"/>
      <c r="F51" s="3"/>
      <c r="G51" s="3"/>
    </row>
    <row r="52" spans="3:7" x14ac:dyDescent="0.2">
      <c r="C52" s="3"/>
      <c r="D52" s="3"/>
      <c r="E52" s="3"/>
      <c r="F52" s="3"/>
      <c r="G52" s="3"/>
    </row>
    <row r="53" spans="3:7" x14ac:dyDescent="0.2">
      <c r="C53" s="3"/>
      <c r="D53" s="3"/>
      <c r="E53" s="3"/>
      <c r="F53" s="3"/>
      <c r="G53" s="3"/>
    </row>
    <row r="54" spans="3:7" x14ac:dyDescent="0.2">
      <c r="C54" s="3"/>
      <c r="D54" s="3"/>
      <c r="E54" s="3"/>
      <c r="F54" s="3"/>
      <c r="G54" s="3"/>
    </row>
  </sheetData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G18" sqref="G18"/>
    </sheetView>
  </sheetViews>
  <sheetFormatPr defaultRowHeight="12.75" x14ac:dyDescent="0.2"/>
  <cols>
    <col min="1" max="1" width="18.7109375" customWidth="1"/>
    <col min="4" max="4" width="15.7109375" customWidth="1"/>
    <col min="5" max="5" width="15.5703125" customWidth="1"/>
    <col min="6" max="6" width="13.85546875" customWidth="1"/>
    <col min="7" max="7" width="14.7109375" customWidth="1"/>
  </cols>
  <sheetData>
    <row r="1" spans="1:7" ht="18" x14ac:dyDescent="0.25">
      <c r="A1" s="185" t="s">
        <v>253</v>
      </c>
    </row>
    <row r="3" spans="1:7" x14ac:dyDescent="0.2">
      <c r="A3" s="44" t="s">
        <v>0</v>
      </c>
      <c r="B3" s="44" t="s">
        <v>86</v>
      </c>
      <c r="C3" s="44" t="s">
        <v>2</v>
      </c>
      <c r="D3" s="44" t="s">
        <v>208</v>
      </c>
      <c r="E3" s="44" t="s">
        <v>185</v>
      </c>
      <c r="F3" s="144" t="s">
        <v>189</v>
      </c>
      <c r="G3" s="144" t="s">
        <v>209</v>
      </c>
    </row>
    <row r="4" spans="1:7" x14ac:dyDescent="0.2">
      <c r="A4" s="44"/>
      <c r="B4" s="44"/>
      <c r="C4" s="74" t="s">
        <v>188</v>
      </c>
      <c r="D4" s="74" t="s">
        <v>181</v>
      </c>
      <c r="E4" s="74" t="s">
        <v>276</v>
      </c>
      <c r="F4" s="74" t="s">
        <v>276</v>
      </c>
      <c r="G4" s="74" t="s">
        <v>278</v>
      </c>
    </row>
    <row r="5" spans="1:7" x14ac:dyDescent="0.2">
      <c r="A5" s="44"/>
      <c r="B5" s="44"/>
      <c r="C5" s="74"/>
      <c r="D5" s="74"/>
      <c r="E5" s="74"/>
      <c r="F5" s="74" t="s">
        <v>198</v>
      </c>
      <c r="G5" s="74" t="s">
        <v>199</v>
      </c>
    </row>
    <row r="6" spans="1:7" x14ac:dyDescent="0.2">
      <c r="A6" s="35" t="s">
        <v>100</v>
      </c>
      <c r="B6" s="36"/>
      <c r="C6" s="37"/>
      <c r="D6" s="14"/>
      <c r="E6" s="16"/>
      <c r="F6" s="14"/>
      <c r="G6" s="133"/>
    </row>
    <row r="7" spans="1:7" x14ac:dyDescent="0.2">
      <c r="A7" s="33"/>
      <c r="B7" s="33"/>
      <c r="C7" s="34"/>
      <c r="D7" s="5" t="s">
        <v>66</v>
      </c>
      <c r="E7" s="6"/>
      <c r="F7" s="3"/>
      <c r="G7" s="134"/>
    </row>
    <row r="8" spans="1:7" x14ac:dyDescent="0.2">
      <c r="A8" s="38" t="s">
        <v>66</v>
      </c>
      <c r="B8" s="38" t="s">
        <v>95</v>
      </c>
      <c r="C8" s="39">
        <v>30</v>
      </c>
      <c r="D8" s="115">
        <v>7.06</v>
      </c>
      <c r="E8" s="18">
        <v>42.2</v>
      </c>
      <c r="F8" s="18">
        <f>E8/C8</f>
        <v>1.4066666666666667</v>
      </c>
      <c r="G8" s="179">
        <f>D8*F8</f>
        <v>9.9310666666666663</v>
      </c>
    </row>
    <row r="9" spans="1:7" x14ac:dyDescent="0.2">
      <c r="A9" s="146" t="s">
        <v>157</v>
      </c>
      <c r="B9" s="146"/>
      <c r="C9" s="68"/>
      <c r="D9" s="148">
        <f>SUM(D8)</f>
        <v>7.06</v>
      </c>
      <c r="E9" s="147"/>
      <c r="F9" s="68">
        <v>1.41</v>
      </c>
      <c r="G9" s="180">
        <f>D8*F8</f>
        <v>9.9310666666666663</v>
      </c>
    </row>
  </sheetData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Contents</vt:lpstr>
      <vt:lpstr>(1) Glossary of Terms</vt:lpstr>
      <vt:lpstr>(2) A.1 BAT (Cigs)</vt:lpstr>
      <vt:lpstr>(2) A.2 Imperial (Cigs)</vt:lpstr>
      <vt:lpstr>(2) A.3 Philip Morris (Cigs)</vt:lpstr>
      <vt:lpstr>(2) A.4 Other Brands (Cigs)</vt:lpstr>
      <vt:lpstr>(3) B.1 BAT (RYO)</vt:lpstr>
      <vt:lpstr>(3) B.2 Imperial (RYO)</vt:lpstr>
      <vt:lpstr>(3) B.3 Philip Morris (RYO)</vt:lpstr>
      <vt:lpstr>(3) B.4 Other Brands (RYO)</vt:lpstr>
      <vt:lpstr>(4) Pipe Tobacco</vt:lpstr>
      <vt:lpstr>(5) Cigars &amp; Cigarillos</vt:lpstr>
      <vt:lpstr>(6) Tobacco Product Sales</vt:lpstr>
      <vt:lpstr>(7) Total consumption trends</vt:lpstr>
      <vt:lpstr>(8) Tax revenue</vt:lpstr>
      <vt:lpstr>(9) Top selling tobacco product</vt:lpstr>
    </vt:vector>
  </TitlesOfParts>
  <Company>Ministry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Adams</dc:creator>
  <cp:lastModifiedBy>Veronica Adams</cp:lastModifiedBy>
  <cp:lastPrinted>2017-11-19T22:56:51Z</cp:lastPrinted>
  <dcterms:created xsi:type="dcterms:W3CDTF">2017-02-02T21:00:42Z</dcterms:created>
  <dcterms:modified xsi:type="dcterms:W3CDTF">2017-12-18T22:14:36Z</dcterms:modified>
</cp:coreProperties>
</file>