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mc:AlternateContent xmlns:mc="http://schemas.openxmlformats.org/markup-compatibility/2006">
    <mc:Choice Requires="x15">
      <x15ac:absPath xmlns:x15ac="http://schemas.microsoft.com/office/spreadsheetml/2010/11/ac" url="https://mohgovtnz-my.sharepoint.com/personal/joshua_wong_health_govt_nz/Documents/Desktop/Requests/Current OIAs/13081 Matt Shand/"/>
    </mc:Choice>
  </mc:AlternateContent>
  <xr:revisionPtr revIDLastSave="0" documentId="8_{605A4532-0F2D-44EC-934E-935C05649E8E}" xr6:coauthVersionLast="47" xr6:coauthVersionMax="47" xr10:uidLastSave="{00000000-0000-0000-0000-000000000000}"/>
  <bookViews>
    <workbookView xWindow="-120" yWindow="-120" windowWidth="29040" windowHeight="15840" tabRatio="870" activeTab="2" xr2:uid="{A61C5292-074E-4AA6-B5DB-F88905862FC5}"/>
  </bookViews>
  <sheets>
    <sheet name="Overview" sheetId="14" r:id="rId1"/>
    <sheet name="Comment Tracking" sheetId="15" r:id="rId2"/>
    <sheet name="Estimate Summary" sheetId="12" r:id="rId3"/>
    <sheet name="Estimate Breakdown" sheetId="9" r:id="rId4"/>
    <sheet name="Schedule " sheetId="11" r:id="rId5"/>
    <sheet name="Inflation Review" sheetId="13" r:id="rId6"/>
    <sheet name="Chemical Sizing" sheetId="4" r:id="rId7"/>
    <sheet name="PS List with Markup Factors" sheetId="7" r:id="rId8"/>
    <sheet name="Vendor Quotes" sheetId="5" state="hidden" r:id="rId9"/>
    <sheet name="PS Pivot" sheetId="2" r:id="rId10"/>
    <sheet name="Original PS List" sheetId="1" state="hidden" r:id="rId11"/>
    <sheet name="Filtec Costing Raw" sheetId="6" state="hidden" r:id="rId12"/>
  </sheets>
  <externalReferences>
    <externalReference r:id="rId13"/>
  </externalReferences>
  <definedNames>
    <definedName name="_xlnm._FilterDatabase" localSheetId="10" hidden="1">'Original PS List'!$A$3:$AF$56</definedName>
    <definedName name="_xlnm._FilterDatabase" localSheetId="7" hidden="1">'PS List with Markup Factors'!$A$3:$AH$48</definedName>
    <definedName name="_Toc97057198" localSheetId="3">'Estimate Breakdown'!#REF!</definedName>
    <definedName name="_Toc97057199" localSheetId="3">'Estimate Breakdown'!#REF!</definedName>
    <definedName name="_xlnm.Print_Area" localSheetId="1">'Comment Tracking'!$B$1:$F$33</definedName>
    <definedName name="_xlnm.Print_Titles" localSheetId="1">'Comment Tracking'!$1:$12</definedName>
  </definedNames>
  <calcPr calcId="191028"/>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70" i="9" l="1"/>
  <c r="BH74" i="9"/>
  <c r="BH77" i="9"/>
  <c r="BH96" i="9"/>
  <c r="D40" i="9"/>
  <c r="M145" i="9"/>
  <c r="B14" i="15"/>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E198" i="9"/>
  <c r="E199" i="9"/>
  <c r="E200" i="9"/>
  <c r="E201" i="9"/>
  <c r="E203" i="9"/>
  <c r="E204" i="9"/>
  <c r="E205" i="9"/>
  <c r="E207" i="9"/>
  <c r="E208" i="9"/>
  <c r="B199" i="9"/>
  <c r="B200" i="9"/>
  <c r="B201" i="9"/>
  <c r="B202" i="9"/>
  <c r="B203" i="9"/>
  <c r="B204" i="9"/>
  <c r="B205" i="9"/>
  <c r="B206" i="9"/>
  <c r="B207" i="9"/>
  <c r="B208" i="9"/>
  <c r="B198" i="9"/>
  <c r="K54" i="9"/>
  <c r="E54" i="9"/>
  <c r="F54" i="9" s="1"/>
  <c r="L48" i="9"/>
  <c r="M54" i="9"/>
  <c r="C137" i="9"/>
  <c r="C134" i="9"/>
  <c r="C114" i="9"/>
  <c r="K102" i="9"/>
  <c r="K96" i="9"/>
  <c r="K91" i="9"/>
  <c r="K69" i="9"/>
  <c r="K70" i="9"/>
  <c r="K71" i="9"/>
  <c r="K72" i="9"/>
  <c r="K73" i="9"/>
  <c r="K74" i="9"/>
  <c r="K75" i="9"/>
  <c r="K76" i="9"/>
  <c r="K77" i="9"/>
  <c r="K78" i="9"/>
  <c r="K79" i="9"/>
  <c r="K80" i="9"/>
  <c r="K68" i="9"/>
  <c r="K64" i="9"/>
  <c r="K60" i="9"/>
  <c r="K53" i="9"/>
  <c r="K52" i="9"/>
  <c r="K51" i="9"/>
  <c r="K50" i="9"/>
  <c r="K49" i="9"/>
  <c r="K48" i="9"/>
  <c r="K47" i="9"/>
  <c r="K46" i="9"/>
  <c r="K45" i="9"/>
  <c r="K44" i="9"/>
  <c r="K43" i="9"/>
  <c r="K42" i="9"/>
  <c r="K41" i="9"/>
  <c r="K40" i="9"/>
  <c r="K39" i="9"/>
  <c r="K38" i="9"/>
  <c r="K37" i="9"/>
  <c r="K36" i="9"/>
  <c r="K35" i="9"/>
  <c r="K34" i="9"/>
  <c r="G127" i="9"/>
  <c r="C194" i="9" s="1"/>
  <c r="D194" i="9" s="1"/>
  <c r="K194" i="9" s="1"/>
  <c r="E7" i="13"/>
  <c r="E8" i="13"/>
  <c r="E9" i="13"/>
  <c r="E10" i="13"/>
  <c r="E11" i="13"/>
  <c r="E12" i="13"/>
  <c r="E13" i="13"/>
  <c r="E6" i="13"/>
  <c r="E14" i="13" s="1"/>
  <c r="D13" i="13"/>
  <c r="D12" i="13"/>
  <c r="D11" i="13"/>
  <c r="D10" i="13"/>
  <c r="D9" i="13"/>
  <c r="D14" i="13" s="1"/>
  <c r="C208" i="9" l="1"/>
  <c r="F208" i="9" s="1"/>
  <c r="D100" i="9"/>
  <c r="D103" i="9" s="1"/>
  <c r="G152" i="9" l="1"/>
  <c r="B51" i="12" s="1"/>
  <c r="G151" i="9"/>
  <c r="B50" i="12" s="1"/>
  <c r="G128" i="9"/>
  <c r="G124" i="9"/>
  <c r="D47" i="9"/>
  <c r="E101" i="9"/>
  <c r="F101" i="9" s="1"/>
  <c r="F100" i="9"/>
  <c r="F103" i="9" s="1"/>
  <c r="M100" i="9"/>
  <c r="BE146" i="9"/>
  <c r="BF146" i="9" s="1"/>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O7" i="9"/>
  <c r="B23" i="12"/>
  <c r="B22" i="12"/>
  <c r="B21" i="12"/>
  <c r="B20" i="12"/>
  <c r="B15" i="12"/>
  <c r="B14" i="12"/>
  <c r="B13" i="12"/>
  <c r="G170" i="9"/>
  <c r="B35" i="12"/>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O15" i="9"/>
  <c r="J34" i="12" l="1"/>
  <c r="E100" i="9"/>
  <c r="E103" i="9" s="1"/>
  <c r="J36" i="12"/>
  <c r="F171" i="9"/>
  <c r="D43" i="9"/>
  <c r="M149" i="9"/>
  <c r="C23" i="9"/>
  <c r="M111" i="9"/>
  <c r="M112" i="9"/>
  <c r="B25" i="4"/>
  <c r="B27" i="4" s="1"/>
  <c r="H171" i="9" l="1"/>
  <c r="G171" i="9"/>
  <c r="M147" i="9"/>
  <c r="C24" i="12"/>
  <c r="D24" i="12" s="1"/>
  <c r="G125" i="9"/>
  <c r="C25" i="12" s="1"/>
  <c r="D25" i="12" s="1"/>
  <c r="C28" i="12"/>
  <c r="D28" i="12" s="1"/>
  <c r="B28" i="4"/>
  <c r="C26" i="9" s="1"/>
  <c r="E95" i="9"/>
  <c r="F95" i="9" s="1"/>
  <c r="F97" i="9" s="1"/>
  <c r="E10" i="12" s="1"/>
  <c r="D17" i="9"/>
  <c r="E17" i="9"/>
  <c r="F17" i="9"/>
  <c r="G126" i="9"/>
  <c r="C26" i="12" s="1"/>
  <c r="D26" i="12" s="1"/>
  <c r="M126" i="9"/>
  <c r="E43" i="9"/>
  <c r="F43" i="9"/>
  <c r="E68" i="9"/>
  <c r="M83" i="9"/>
  <c r="N69" i="9"/>
  <c r="N70" i="9"/>
  <c r="N71" i="9"/>
  <c r="N72" i="9"/>
  <c r="N73" i="9"/>
  <c r="N74" i="9"/>
  <c r="N75" i="9"/>
  <c r="N76" i="9"/>
  <c r="N77" i="9"/>
  <c r="N78" i="9"/>
  <c r="N79" i="9"/>
  <c r="N80" i="9"/>
  <c r="N64" i="9"/>
  <c r="N53" i="9"/>
  <c r="D97" i="9"/>
  <c r="C10" i="12" s="1"/>
  <c r="M146" i="9"/>
  <c r="M148" i="9"/>
  <c r="P146" i="9"/>
  <c r="Q146" i="9"/>
  <c r="R146" i="9"/>
  <c r="S146" i="9"/>
  <c r="T146" i="9"/>
  <c r="U146" i="9"/>
  <c r="V146" i="9"/>
  <c r="W146" i="9"/>
  <c r="X146" i="9"/>
  <c r="Y146" i="9"/>
  <c r="Z146" i="9"/>
  <c r="AA146" i="9"/>
  <c r="AB146" i="9"/>
  <c r="AC146" i="9"/>
  <c r="AD146" i="9"/>
  <c r="AE146" i="9"/>
  <c r="AF146" i="9"/>
  <c r="AG146" i="9"/>
  <c r="AH146" i="9"/>
  <c r="AI146" i="9"/>
  <c r="AJ146" i="9"/>
  <c r="AK146" i="9"/>
  <c r="AL146" i="9"/>
  <c r="AM146" i="9"/>
  <c r="AN146" i="9"/>
  <c r="AO146" i="9"/>
  <c r="AP146" i="9"/>
  <c r="AQ146" i="9"/>
  <c r="AR146" i="9"/>
  <c r="AS146" i="9"/>
  <c r="AT146" i="9"/>
  <c r="AU146" i="9"/>
  <c r="AV146" i="9"/>
  <c r="AW146" i="9"/>
  <c r="AX146" i="9"/>
  <c r="AY146" i="9"/>
  <c r="AZ146" i="9"/>
  <c r="BA146" i="9"/>
  <c r="BB146" i="9"/>
  <c r="BC146" i="9"/>
  <c r="BD146" i="9"/>
  <c r="O146" i="9"/>
  <c r="M68" i="9"/>
  <c r="M69" i="9"/>
  <c r="M70" i="9"/>
  <c r="M71" i="9"/>
  <c r="M72" i="9"/>
  <c r="M73" i="9"/>
  <c r="M74" i="9"/>
  <c r="M75" i="9"/>
  <c r="M76" i="9"/>
  <c r="M77" i="9"/>
  <c r="M78" i="9"/>
  <c r="M79" i="9"/>
  <c r="M80" i="9"/>
  <c r="M81" i="9"/>
  <c r="M90" i="9"/>
  <c r="M91" i="9"/>
  <c r="M92" i="9"/>
  <c r="M94" i="9"/>
  <c r="M95" i="9"/>
  <c r="M97" i="9"/>
  <c r="M99" i="9"/>
  <c r="M102" i="9"/>
  <c r="M103" i="9"/>
  <c r="M105" i="9"/>
  <c r="M109" i="9"/>
  <c r="M110" i="9"/>
  <c r="M114" i="9"/>
  <c r="M119" i="9"/>
  <c r="M120" i="9"/>
  <c r="M121" i="9"/>
  <c r="M122" i="9"/>
  <c r="M124" i="9"/>
  <c r="M128" i="9"/>
  <c r="M59" i="9"/>
  <c r="M60" i="9"/>
  <c r="M61" i="9"/>
  <c r="M63" i="9"/>
  <c r="M64" i="9"/>
  <c r="M65" i="9"/>
  <c r="M67" i="9"/>
  <c r="P9" i="9"/>
  <c r="Q9" i="9"/>
  <c r="Q53" i="9" s="1"/>
  <c r="R9" i="9"/>
  <c r="R53" i="9" s="1"/>
  <c r="S9" i="9"/>
  <c r="S53" i="9" s="1"/>
  <c r="T9" i="9"/>
  <c r="U9" i="9"/>
  <c r="U53" i="9" s="1"/>
  <c r="V9" i="9"/>
  <c r="W9" i="9"/>
  <c r="W53" i="9" s="1"/>
  <c r="X9" i="9"/>
  <c r="Y9" i="9"/>
  <c r="Y53" i="9" s="1"/>
  <c r="Z9" i="9"/>
  <c r="AA9" i="9"/>
  <c r="AB9" i="9"/>
  <c r="AB53" i="9" s="1"/>
  <c r="AC9" i="9"/>
  <c r="AD9" i="9"/>
  <c r="AE9" i="9"/>
  <c r="AE53" i="9" s="1"/>
  <c r="AF9" i="9"/>
  <c r="AG9" i="9"/>
  <c r="AG53" i="9" s="1"/>
  <c r="AH9" i="9"/>
  <c r="AI9" i="9"/>
  <c r="AI53" i="9" s="1"/>
  <c r="AJ9" i="9"/>
  <c r="AJ53" i="9" s="1"/>
  <c r="AK9" i="9"/>
  <c r="AL9" i="9"/>
  <c r="AM9" i="9"/>
  <c r="AM53" i="9" s="1"/>
  <c r="AN9" i="9"/>
  <c r="AN53" i="9" s="1"/>
  <c r="AO9" i="9"/>
  <c r="AO53" i="9" s="1"/>
  <c r="AP9" i="9"/>
  <c r="AQ9" i="9"/>
  <c r="AR9" i="9"/>
  <c r="AS9" i="9"/>
  <c r="AT9" i="9"/>
  <c r="AU9" i="9"/>
  <c r="AU53" i="9" s="1"/>
  <c r="AV9" i="9"/>
  <c r="AV53" i="9" s="1"/>
  <c r="AW9" i="9"/>
  <c r="AW53" i="9" s="1"/>
  <c r="AX9" i="9"/>
  <c r="AX53" i="9" s="1"/>
  <c r="AY9" i="9"/>
  <c r="AZ9" i="9"/>
  <c r="BA9" i="9"/>
  <c r="BB9" i="9"/>
  <c r="BB53" i="9" s="1"/>
  <c r="BC9" i="9"/>
  <c r="BC53" i="9" s="1"/>
  <c r="BD9" i="9"/>
  <c r="BD53" i="9" s="1"/>
  <c r="BE9" i="9"/>
  <c r="BE53" i="9" s="1"/>
  <c r="BF9" i="9"/>
  <c r="BF53" i="9" s="1"/>
  <c r="BG9" i="9"/>
  <c r="O9"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P14" i="9"/>
  <c r="Q14" i="9"/>
  <c r="R14" i="9"/>
  <c r="S14" i="9"/>
  <c r="T14" i="9"/>
  <c r="U14" i="9"/>
  <c r="V14" i="9"/>
  <c r="W14" i="9"/>
  <c r="X14" i="9"/>
  <c r="Y14" i="9"/>
  <c r="Z14" i="9"/>
  <c r="AA14" i="9"/>
  <c r="AB14" i="9"/>
  <c r="AC14" i="9"/>
  <c r="AD14" i="9"/>
  <c r="AE14" i="9"/>
  <c r="AF14" i="9"/>
  <c r="AG14" i="9"/>
  <c r="AH14" i="9"/>
  <c r="AI14" i="9"/>
  <c r="AJ14" i="9"/>
  <c r="AK14" i="9"/>
  <c r="AL14" i="9"/>
  <c r="AM14" i="9"/>
  <c r="AN14" i="9"/>
  <c r="AO14" i="9"/>
  <c r="AP14" i="9"/>
  <c r="AQ14" i="9"/>
  <c r="AR14" i="9"/>
  <c r="AS14" i="9"/>
  <c r="AT14" i="9"/>
  <c r="AU14" i="9"/>
  <c r="AV14" i="9"/>
  <c r="AW14" i="9"/>
  <c r="AX14" i="9"/>
  <c r="AY14" i="9"/>
  <c r="AZ14" i="9"/>
  <c r="BA14" i="9"/>
  <c r="BB14" i="9"/>
  <c r="BC14" i="9"/>
  <c r="BD14" i="9"/>
  <c r="BE14" i="9"/>
  <c r="BF14" i="9"/>
  <c r="BG14" i="9"/>
  <c r="P10" i="9"/>
  <c r="Q10" i="9"/>
  <c r="R10" i="9"/>
  <c r="S10" i="9"/>
  <c r="T10" i="9"/>
  <c r="U10" i="9"/>
  <c r="V10" i="9"/>
  <c r="W10" i="9"/>
  <c r="X10" i="9"/>
  <c r="Y10" i="9"/>
  <c r="Z10" i="9"/>
  <c r="AA10" i="9"/>
  <c r="AB10" i="9"/>
  <c r="AC10" i="9"/>
  <c r="AD10" i="9"/>
  <c r="AE10" i="9"/>
  <c r="AF10" i="9"/>
  <c r="AG10" i="9"/>
  <c r="AH10" i="9"/>
  <c r="AH64" i="9" s="1"/>
  <c r="AH65" i="9" s="1"/>
  <c r="AI10" i="9"/>
  <c r="AJ10" i="9"/>
  <c r="AJ64" i="9" s="1"/>
  <c r="AJ65" i="9" s="1"/>
  <c r="AK10" i="9"/>
  <c r="AL10" i="9"/>
  <c r="AM10" i="9"/>
  <c r="AN10" i="9"/>
  <c r="AO10" i="9"/>
  <c r="AP10" i="9"/>
  <c r="AQ10" i="9"/>
  <c r="AR10" i="9"/>
  <c r="AS10" i="9"/>
  <c r="AT10" i="9"/>
  <c r="AU10" i="9"/>
  <c r="AV10" i="9"/>
  <c r="AW10" i="9"/>
  <c r="AX10" i="9"/>
  <c r="AY10" i="9"/>
  <c r="AZ10" i="9"/>
  <c r="BA10" i="9"/>
  <c r="BB10" i="9"/>
  <c r="BC10" i="9"/>
  <c r="BD10" i="9"/>
  <c r="BE10" i="9"/>
  <c r="BF10" i="9"/>
  <c r="BG10" i="9"/>
  <c r="O10" i="9"/>
  <c r="O14" i="9"/>
  <c r="O13" i="9"/>
  <c r="P12" i="9"/>
  <c r="Q12" i="9"/>
  <c r="R12" i="9"/>
  <c r="S12" i="9"/>
  <c r="T12" i="9"/>
  <c r="U12" i="9"/>
  <c r="V12" i="9"/>
  <c r="W12" i="9"/>
  <c r="X12" i="9"/>
  <c r="Y12" i="9"/>
  <c r="Z12" i="9"/>
  <c r="AA12" i="9"/>
  <c r="AB12" i="9"/>
  <c r="AC12" i="9"/>
  <c r="AD12" i="9"/>
  <c r="AE12" i="9"/>
  <c r="AF12" i="9"/>
  <c r="AG12" i="9"/>
  <c r="AH12" i="9"/>
  <c r="AI12" i="9"/>
  <c r="AJ12" i="9"/>
  <c r="AK12" i="9"/>
  <c r="AL12" i="9"/>
  <c r="AM12" i="9"/>
  <c r="AN12" i="9"/>
  <c r="AO12" i="9"/>
  <c r="AP12" i="9"/>
  <c r="AQ12" i="9"/>
  <c r="AR12" i="9"/>
  <c r="AS12" i="9"/>
  <c r="AT12" i="9"/>
  <c r="AU12" i="9"/>
  <c r="AV12" i="9"/>
  <c r="AW12" i="9"/>
  <c r="AX12" i="9"/>
  <c r="AY12" i="9"/>
  <c r="AZ12" i="9"/>
  <c r="BA12" i="9"/>
  <c r="BB12" i="9"/>
  <c r="BC12" i="9"/>
  <c r="BD12" i="9"/>
  <c r="BE12" i="9"/>
  <c r="BF12" i="9"/>
  <c r="BG12" i="9"/>
  <c r="O12" i="9"/>
  <c r="O11" i="9"/>
  <c r="O69" i="9" s="1"/>
  <c r="P11" i="9"/>
  <c r="P69" i="9" s="1"/>
  <c r="Q11" i="9"/>
  <c r="R11" i="9"/>
  <c r="S11" i="9"/>
  <c r="S69" i="9" s="1"/>
  <c r="T11" i="9"/>
  <c r="U11" i="9"/>
  <c r="U69" i="9" s="1"/>
  <c r="V11" i="9"/>
  <c r="V69" i="9" s="1"/>
  <c r="W11" i="9"/>
  <c r="W69" i="9" s="1"/>
  <c r="X11" i="9"/>
  <c r="Y11" i="9"/>
  <c r="Y69" i="9" s="1"/>
  <c r="Z11" i="9"/>
  <c r="Z69" i="9" s="1"/>
  <c r="AA11" i="9"/>
  <c r="AA69" i="9" s="1"/>
  <c r="AB11" i="9"/>
  <c r="AB69" i="9" s="1"/>
  <c r="AC11" i="9"/>
  <c r="AC69" i="9" s="1"/>
  <c r="AD11" i="9"/>
  <c r="AE11" i="9"/>
  <c r="AE69" i="9" s="1"/>
  <c r="AF11" i="9"/>
  <c r="AF69" i="9" s="1"/>
  <c r="AG11" i="9"/>
  <c r="AG69" i="9" s="1"/>
  <c r="AH11" i="9"/>
  <c r="AI11" i="9"/>
  <c r="AI69" i="9" s="1"/>
  <c r="AJ11" i="9"/>
  <c r="AJ69" i="9" s="1"/>
  <c r="AK11" i="9"/>
  <c r="AL11" i="9"/>
  <c r="AL69" i="9" s="1"/>
  <c r="AM11" i="9"/>
  <c r="AN11" i="9"/>
  <c r="AN69" i="9" s="1"/>
  <c r="AO11" i="9"/>
  <c r="AO69" i="9" s="1"/>
  <c r="AP11" i="9"/>
  <c r="AP69" i="9" s="1"/>
  <c r="AQ11" i="9"/>
  <c r="AQ69" i="9" s="1"/>
  <c r="AR11" i="9"/>
  <c r="AR69" i="9" s="1"/>
  <c r="AS11" i="9"/>
  <c r="AT11" i="9"/>
  <c r="AT69" i="9" s="1"/>
  <c r="AU11" i="9"/>
  <c r="AU69" i="9" s="1"/>
  <c r="AV11" i="9"/>
  <c r="AW11" i="9"/>
  <c r="AX11" i="9"/>
  <c r="AX69" i="9" s="1"/>
  <c r="AY11" i="9"/>
  <c r="AZ11" i="9"/>
  <c r="BA11" i="9"/>
  <c r="BB11" i="9"/>
  <c r="BB69" i="9" s="1"/>
  <c r="BC11" i="9"/>
  <c r="BC69" i="9" s="1"/>
  <c r="BD11" i="9"/>
  <c r="BD69" i="9" s="1"/>
  <c r="BE11" i="9"/>
  <c r="BF11" i="9"/>
  <c r="BF69" i="9" s="1"/>
  <c r="BG11" i="9"/>
  <c r="F68" i="9"/>
  <c r="F61" i="9"/>
  <c r="E6" i="12" s="1"/>
  <c r="E61" i="9"/>
  <c r="D6" i="12" s="1"/>
  <c r="D61" i="9"/>
  <c r="C6" i="12" s="1"/>
  <c r="E69" i="9"/>
  <c r="F69" i="9" s="1"/>
  <c r="M57" i="9"/>
  <c r="M56" i="9"/>
  <c r="M55" i="9"/>
  <c r="M53" i="9"/>
  <c r="M52" i="9"/>
  <c r="M51" i="9"/>
  <c r="M50" i="9"/>
  <c r="M49" i="9"/>
  <c r="M48" i="9"/>
  <c r="M47" i="9"/>
  <c r="M46" i="9"/>
  <c r="M45" i="9"/>
  <c r="M44" i="9"/>
  <c r="M43" i="9"/>
  <c r="M42" i="9"/>
  <c r="M41" i="9"/>
  <c r="M40" i="9"/>
  <c r="M39" i="9"/>
  <c r="M38" i="9"/>
  <c r="M37" i="9"/>
  <c r="M36" i="9"/>
  <c r="M35" i="9"/>
  <c r="M34" i="9"/>
  <c r="M32" i="9"/>
  <c r="P8" i="9"/>
  <c r="Q8" i="9"/>
  <c r="R8" i="9"/>
  <c r="S8" i="9"/>
  <c r="S54" i="9" s="1"/>
  <c r="T8" i="9"/>
  <c r="T54" i="9" s="1"/>
  <c r="U8" i="9"/>
  <c r="U54" i="9" s="1"/>
  <c r="V8" i="9"/>
  <c r="V54" i="9" s="1"/>
  <c r="W8" i="9"/>
  <c r="W54" i="9" s="1"/>
  <c r="X8" i="9"/>
  <c r="X54" i="9" s="1"/>
  <c r="Y8" i="9"/>
  <c r="Y54" i="9" s="1"/>
  <c r="Z8" i="9"/>
  <c r="Z54" i="9" s="1"/>
  <c r="AA8" i="9"/>
  <c r="AA54" i="9" s="1"/>
  <c r="AB8" i="9"/>
  <c r="AC8" i="9"/>
  <c r="AC54" i="9" s="1"/>
  <c r="AD8" i="9"/>
  <c r="AE8" i="9"/>
  <c r="AE54" i="9" s="1"/>
  <c r="AF8" i="9"/>
  <c r="AF54" i="9" s="1"/>
  <c r="AG8" i="9"/>
  <c r="AG54" i="9" s="1"/>
  <c r="AH8" i="9"/>
  <c r="AH54" i="9" s="1"/>
  <c r="AI8" i="9"/>
  <c r="AI54" i="9" s="1"/>
  <c r="AJ8" i="9"/>
  <c r="AJ54" i="9" s="1"/>
  <c r="AK8" i="9"/>
  <c r="AK54" i="9" s="1"/>
  <c r="AL8" i="9"/>
  <c r="AL54" i="9" s="1"/>
  <c r="AM8" i="9"/>
  <c r="AN8" i="9"/>
  <c r="AN54" i="9" s="1"/>
  <c r="AO8" i="9"/>
  <c r="AO54" i="9" s="1"/>
  <c r="AP8" i="9"/>
  <c r="AP54" i="9" s="1"/>
  <c r="AQ8" i="9"/>
  <c r="AQ54" i="9" s="1"/>
  <c r="AR8" i="9"/>
  <c r="AR54" i="9" s="1"/>
  <c r="AS8" i="9"/>
  <c r="AS54" i="9" s="1"/>
  <c r="AT8" i="9"/>
  <c r="AT54" i="9" s="1"/>
  <c r="AU8" i="9"/>
  <c r="AU54" i="9" s="1"/>
  <c r="AV8" i="9"/>
  <c r="AV54" i="9" s="1"/>
  <c r="AW8" i="9"/>
  <c r="AW54" i="9" s="1"/>
  <c r="AX8" i="9"/>
  <c r="AX54" i="9" s="1"/>
  <c r="AY8" i="9"/>
  <c r="AY54" i="9" s="1"/>
  <c r="AZ8" i="9"/>
  <c r="AZ54" i="9" s="1"/>
  <c r="BA8" i="9"/>
  <c r="BB8" i="9"/>
  <c r="BB54" i="9" s="1"/>
  <c r="BC8" i="9"/>
  <c r="BC54" i="9" s="1"/>
  <c r="BD8" i="9"/>
  <c r="BD54" i="9" s="1"/>
  <c r="BE8" i="9"/>
  <c r="BF8" i="9"/>
  <c r="BF54" i="9" s="1"/>
  <c r="O8" i="9"/>
  <c r="O54" i="9" s="1"/>
  <c r="BG6" i="9"/>
  <c r="G161" i="9"/>
  <c r="F158" i="9"/>
  <c r="F159" i="9"/>
  <c r="H159" i="9" s="1"/>
  <c r="F160" i="9"/>
  <c r="G160" i="9" s="1"/>
  <c r="F162" i="9"/>
  <c r="F163" i="9"/>
  <c r="F164" i="9"/>
  <c r="F165" i="9"/>
  <c r="G165" i="9" s="1"/>
  <c r="F168" i="9"/>
  <c r="F169" i="9"/>
  <c r="F166" i="9"/>
  <c r="F167" i="9"/>
  <c r="F172" i="9"/>
  <c r="F173" i="9"/>
  <c r="F102" i="9"/>
  <c r="E11" i="12" s="1"/>
  <c r="E102" i="9"/>
  <c r="D11" i="12" s="1"/>
  <c r="D102" i="9"/>
  <c r="C11" i="12" s="1"/>
  <c r="D42" i="9"/>
  <c r="C24" i="9" l="1"/>
  <c r="BA45" i="9"/>
  <c r="BA54" i="9"/>
  <c r="Q45" i="9"/>
  <c r="Q54" i="9"/>
  <c r="AB38" i="9"/>
  <c r="AB54" i="9"/>
  <c r="P60" i="9"/>
  <c r="P61" i="9" s="1"/>
  <c r="P54" i="9"/>
  <c r="R60" i="9"/>
  <c r="R61" i="9" s="1"/>
  <c r="R54" i="9"/>
  <c r="AM38" i="9"/>
  <c r="AM54" i="9"/>
  <c r="AD60" i="9"/>
  <c r="AD61" i="9" s="1"/>
  <c r="AD54" i="9"/>
  <c r="BE51" i="9"/>
  <c r="BE54" i="9"/>
  <c r="BG8" i="9"/>
  <c r="BG54" i="9" s="1"/>
  <c r="BG7" i="9"/>
  <c r="H173" i="9"/>
  <c r="G173" i="9"/>
  <c r="H158" i="9"/>
  <c r="G158" i="9"/>
  <c r="H167" i="9"/>
  <c r="G167" i="9"/>
  <c r="H169" i="9"/>
  <c r="G169" i="9"/>
  <c r="G168" i="9"/>
  <c r="H168" i="9"/>
  <c r="G172" i="9"/>
  <c r="H172" i="9"/>
  <c r="G166" i="9"/>
  <c r="H166" i="9"/>
  <c r="H163" i="9"/>
  <c r="G163" i="9"/>
  <c r="H162" i="9"/>
  <c r="G162" i="9"/>
  <c r="H164" i="9"/>
  <c r="G164" i="9"/>
  <c r="H160" i="9"/>
  <c r="G159" i="9"/>
  <c r="BE79" i="9"/>
  <c r="AS79" i="9"/>
  <c r="U79" i="9"/>
  <c r="BD79" i="9"/>
  <c r="AR79" i="9"/>
  <c r="T79" i="9"/>
  <c r="P147" i="9"/>
  <c r="BC147" i="9"/>
  <c r="AG147" i="9"/>
  <c r="BB147" i="9"/>
  <c r="AF147" i="9"/>
  <c r="BF147" i="9"/>
  <c r="AT147" i="9"/>
  <c r="AH147" i="9"/>
  <c r="V147" i="9"/>
  <c r="BA147" i="9"/>
  <c r="AE147" i="9"/>
  <c r="U147" i="9"/>
  <c r="AD147" i="9"/>
  <c r="AU147" i="9"/>
  <c r="AR147" i="9"/>
  <c r="W147" i="9"/>
  <c r="AZ147" i="9"/>
  <c r="AQ147" i="9"/>
  <c r="T147" i="9"/>
  <c r="O147" i="9"/>
  <c r="AP147" i="9"/>
  <c r="S147" i="9"/>
  <c r="AY147" i="9"/>
  <c r="AM147" i="9"/>
  <c r="AA147" i="9"/>
  <c r="AS147" i="9"/>
  <c r="AO147" i="9"/>
  <c r="R147" i="9"/>
  <c r="AX147" i="9"/>
  <c r="AL147" i="9"/>
  <c r="Z147" i="9"/>
  <c r="AC147" i="9"/>
  <c r="BE147" i="9"/>
  <c r="AN147" i="9"/>
  <c r="Q147" i="9"/>
  <c r="AW147" i="9"/>
  <c r="AK147" i="9"/>
  <c r="Y147" i="9"/>
  <c r="AB147" i="9"/>
  <c r="BD147" i="9"/>
  <c r="AI147" i="9"/>
  <c r="AV147" i="9"/>
  <c r="AJ147" i="9"/>
  <c r="X147" i="9"/>
  <c r="E97" i="9"/>
  <c r="D10" i="12" s="1"/>
  <c r="AF72" i="9"/>
  <c r="AN71" i="9"/>
  <c r="AB71" i="9"/>
  <c r="P71" i="9"/>
  <c r="AL71" i="9"/>
  <c r="Z71" i="9"/>
  <c r="AO71" i="9"/>
  <c r="AG72" i="9"/>
  <c r="U72" i="9"/>
  <c r="BC73" i="9"/>
  <c r="AD72" i="9"/>
  <c r="AY72" i="9"/>
  <c r="AA72" i="9"/>
  <c r="S73" i="9"/>
  <c r="BG72" i="9"/>
  <c r="AU72" i="9"/>
  <c r="AI72" i="9"/>
  <c r="BF79" i="9"/>
  <c r="AH79" i="9"/>
  <c r="BC80" i="9"/>
  <c r="AQ79" i="9"/>
  <c r="AE79" i="9"/>
  <c r="S80" i="9"/>
  <c r="BG69" i="9"/>
  <c r="AY79" i="9"/>
  <c r="AM79" i="9"/>
  <c r="AA79" i="9"/>
  <c r="AX80" i="9"/>
  <c r="AL80" i="9"/>
  <c r="Z80" i="9"/>
  <c r="AW80" i="9"/>
  <c r="AK80" i="9"/>
  <c r="Y80" i="9"/>
  <c r="AV80" i="9"/>
  <c r="AJ80" i="9"/>
  <c r="X80" i="9"/>
  <c r="BG80" i="9"/>
  <c r="AU80" i="9"/>
  <c r="AI80" i="9"/>
  <c r="W80" i="9"/>
  <c r="W73" i="9"/>
  <c r="AV69" i="9"/>
  <c r="X69" i="9"/>
  <c r="AH69" i="9"/>
  <c r="AY69" i="9"/>
  <c r="BG76" i="9"/>
  <c r="AI76" i="9"/>
  <c r="W76" i="9"/>
  <c r="BE69" i="9"/>
  <c r="AS69" i="9"/>
  <c r="BF76" i="9"/>
  <c r="AT76" i="9"/>
  <c r="BE76" i="9"/>
  <c r="AS76" i="9"/>
  <c r="U76" i="9"/>
  <c r="BD76" i="9"/>
  <c r="AR76" i="9"/>
  <c r="T76" i="9"/>
  <c r="AD69" i="9"/>
  <c r="R69" i="9"/>
  <c r="BC76" i="9"/>
  <c r="AQ76" i="9"/>
  <c r="S76" i="9"/>
  <c r="BA69" i="9"/>
  <c r="Q69" i="9"/>
  <c r="BB76" i="9"/>
  <c r="AP76" i="9"/>
  <c r="R76" i="9"/>
  <c r="T69" i="9"/>
  <c r="AZ69" i="9"/>
  <c r="BA75" i="9"/>
  <c r="AO76" i="9"/>
  <c r="AC76" i="9"/>
  <c r="Q76" i="9"/>
  <c r="AZ75" i="9"/>
  <c r="AN76" i="9"/>
  <c r="AB76" i="9"/>
  <c r="P76" i="9"/>
  <c r="AY75" i="9"/>
  <c r="AM76" i="9"/>
  <c r="AA76" i="9"/>
  <c r="BG147" i="9"/>
  <c r="AW69" i="9"/>
  <c r="AK69" i="9"/>
  <c r="AL76" i="9"/>
  <c r="Z76" i="9"/>
  <c r="AU102" i="9"/>
  <c r="AU103" i="9" s="1"/>
  <c r="AM69" i="9"/>
  <c r="AI102" i="9"/>
  <c r="AI103" i="9" s="1"/>
  <c r="W102" i="9"/>
  <c r="W103" i="9" s="1"/>
  <c r="AK53" i="9"/>
  <c r="AU73" i="9"/>
  <c r="AC75" i="9"/>
  <c r="AQ80" i="9"/>
  <c r="AE80" i="9"/>
  <c r="AI71" i="9"/>
  <c r="R78" i="9"/>
  <c r="BB78" i="9"/>
  <c r="BG78" i="9"/>
  <c r="AK47" i="9"/>
  <c r="AU78" i="9"/>
  <c r="AW72" i="9"/>
  <c r="AW71" i="9"/>
  <c r="AU45" i="9"/>
  <c r="AU38" i="9"/>
  <c r="AU50" i="9"/>
  <c r="AU46" i="9"/>
  <c r="AU68" i="9"/>
  <c r="AU60" i="9"/>
  <c r="AU61" i="9" s="1"/>
  <c r="AU49" i="9"/>
  <c r="AI45" i="9"/>
  <c r="AI38" i="9"/>
  <c r="AI50" i="9"/>
  <c r="AI68" i="9"/>
  <c r="AI60" i="9"/>
  <c r="AI61" i="9" s="1"/>
  <c r="AI49" i="9"/>
  <c r="W45" i="9"/>
  <c r="W38" i="9"/>
  <c r="W50" i="9"/>
  <c r="W49" i="9"/>
  <c r="W68" i="9"/>
  <c r="W60" i="9"/>
  <c r="W61" i="9" s="1"/>
  <c r="W46" i="9"/>
  <c r="AV71" i="9"/>
  <c r="AJ72" i="9"/>
  <c r="AJ71" i="9"/>
  <c r="X72" i="9"/>
  <c r="X71" i="9"/>
  <c r="AX102" i="9"/>
  <c r="AX103" i="9" s="1"/>
  <c r="AL102" i="9"/>
  <c r="AL103" i="9" s="1"/>
  <c r="Z102" i="9"/>
  <c r="Z103" i="9" s="1"/>
  <c r="BF80" i="9"/>
  <c r="AT80" i="9"/>
  <c r="V80" i="9"/>
  <c r="AP79" i="9"/>
  <c r="AD79" i="9"/>
  <c r="AX78" i="9"/>
  <c r="Z78" i="9"/>
  <c r="AM75" i="9"/>
  <c r="X73" i="9"/>
  <c r="AK50" i="9"/>
  <c r="BF42" i="9"/>
  <c r="BF45" i="9"/>
  <c r="BF38" i="9"/>
  <c r="BF47" i="9"/>
  <c r="BF68" i="9"/>
  <c r="BF49" i="9"/>
  <c r="BF50" i="9"/>
  <c r="BF60" i="9"/>
  <c r="BF61" i="9" s="1"/>
  <c r="BF46" i="9"/>
  <c r="BF51" i="9"/>
  <c r="V45" i="9"/>
  <c r="V38" i="9"/>
  <c r="V50" i="9"/>
  <c r="V68" i="9"/>
  <c r="V60" i="9"/>
  <c r="V61" i="9" s="1"/>
  <c r="V46" i="9"/>
  <c r="V49" i="9"/>
  <c r="BG53" i="9"/>
  <c r="AW102" i="9"/>
  <c r="AW103" i="9" s="1"/>
  <c r="AK102" i="9"/>
  <c r="AK103" i="9" s="1"/>
  <c r="Y102" i="9"/>
  <c r="Y103" i="9" s="1"/>
  <c r="BE80" i="9"/>
  <c r="AS80" i="9"/>
  <c r="AG80" i="9"/>
  <c r="U80" i="9"/>
  <c r="BA79" i="9"/>
  <c r="AO79" i="9"/>
  <c r="AC79" i="9"/>
  <c r="Q79" i="9"/>
  <c r="Y78" i="9"/>
  <c r="AL75" i="9"/>
  <c r="AW73" i="9"/>
  <c r="AB60" i="9"/>
  <c r="AB61" i="9" s="1"/>
  <c r="AB50" i="9"/>
  <c r="AQ45" i="9"/>
  <c r="AK71" i="9"/>
  <c r="AT45" i="9"/>
  <c r="AT38" i="9"/>
  <c r="AT68" i="9"/>
  <c r="AT50" i="9"/>
  <c r="AT60" i="9"/>
  <c r="AT61" i="9" s="1"/>
  <c r="AT46" i="9"/>
  <c r="AH45" i="9"/>
  <c r="AH38" i="9"/>
  <c r="AH50" i="9"/>
  <c r="AH68" i="9"/>
  <c r="AH60" i="9"/>
  <c r="AH61" i="9" s="1"/>
  <c r="AH49" i="9"/>
  <c r="AH46" i="9"/>
  <c r="BE42" i="9"/>
  <c r="BE45" i="9"/>
  <c r="BE38" i="9"/>
  <c r="BE47" i="9"/>
  <c r="BE49" i="9"/>
  <c r="BE50" i="9"/>
  <c r="BE60" i="9"/>
  <c r="BE61" i="9" s="1"/>
  <c r="BE46" i="9"/>
  <c r="BE68" i="9"/>
  <c r="AS45" i="9"/>
  <c r="AS38" i="9"/>
  <c r="AS50" i="9"/>
  <c r="AS60" i="9"/>
  <c r="AS61" i="9" s="1"/>
  <c r="AS49" i="9"/>
  <c r="AS68" i="9"/>
  <c r="AG45" i="9"/>
  <c r="AG38" i="9"/>
  <c r="AG50" i="9"/>
  <c r="AG60" i="9"/>
  <c r="AG61" i="9" s="1"/>
  <c r="AG49" i="9"/>
  <c r="AG46" i="9"/>
  <c r="AG68" i="9"/>
  <c r="U45" i="9"/>
  <c r="U38" i="9"/>
  <c r="U50" i="9"/>
  <c r="U60" i="9"/>
  <c r="U61" i="9" s="1"/>
  <c r="U46" i="9"/>
  <c r="U68" i="9"/>
  <c r="BF72" i="9"/>
  <c r="BF71" i="9"/>
  <c r="AT72" i="9"/>
  <c r="AT71" i="9"/>
  <c r="AH72" i="9"/>
  <c r="V72" i="9"/>
  <c r="V71" i="9"/>
  <c r="AW75" i="9"/>
  <c r="AK76" i="9"/>
  <c r="Y76" i="9"/>
  <c r="Y75" i="9"/>
  <c r="AV102" i="9"/>
  <c r="AV103" i="9" s="1"/>
  <c r="AJ102" i="9"/>
  <c r="AJ103" i="9" s="1"/>
  <c r="X102" i="9"/>
  <c r="X103" i="9" s="1"/>
  <c r="BD80" i="9"/>
  <c r="AR80" i="9"/>
  <c r="AF80" i="9"/>
  <c r="T80" i="9"/>
  <c r="AZ79" i="9"/>
  <c r="AN79" i="9"/>
  <c r="AB79" i="9"/>
  <c r="P79" i="9"/>
  <c r="AV73" i="9"/>
  <c r="V73" i="9"/>
  <c r="AV49" i="9"/>
  <c r="BD38" i="9"/>
  <c r="BD46" i="9"/>
  <c r="BD60" i="9"/>
  <c r="BD61" i="9" s="1"/>
  <c r="BD45" i="9"/>
  <c r="BD49" i="9"/>
  <c r="BD50" i="9"/>
  <c r="BE71" i="9"/>
  <c r="BE73" i="9"/>
  <c r="BC38" i="9"/>
  <c r="BC46" i="9"/>
  <c r="BC49" i="9"/>
  <c r="BC45" i="9"/>
  <c r="BC68" i="9"/>
  <c r="BC60" i="9"/>
  <c r="BC61" i="9" s="1"/>
  <c r="AQ38" i="9"/>
  <c r="AQ50" i="9"/>
  <c r="AQ46" i="9"/>
  <c r="AQ49" i="9"/>
  <c r="AQ68" i="9"/>
  <c r="AQ60" i="9"/>
  <c r="AQ61" i="9" s="1"/>
  <c r="S38" i="9"/>
  <c r="S50" i="9"/>
  <c r="S46" i="9"/>
  <c r="S49" i="9"/>
  <c r="S45" i="9"/>
  <c r="S68" i="9"/>
  <c r="S60" i="9"/>
  <c r="S61" i="9" s="1"/>
  <c r="BD71" i="9"/>
  <c r="BD73" i="9"/>
  <c r="AR73" i="9"/>
  <c r="AF71" i="9"/>
  <c r="AF73" i="9"/>
  <c r="T71" i="9"/>
  <c r="T73" i="9"/>
  <c r="BF102" i="9"/>
  <c r="BF103" i="9" s="1"/>
  <c r="AT102" i="9"/>
  <c r="AT103" i="9" s="1"/>
  <c r="AH102" i="9"/>
  <c r="AH103" i="9" s="1"/>
  <c r="V102" i="9"/>
  <c r="V103" i="9" s="1"/>
  <c r="BB80" i="9"/>
  <c r="AP80" i="9"/>
  <c r="AD80" i="9"/>
  <c r="R80" i="9"/>
  <c r="AL79" i="9"/>
  <c r="Z79" i="9"/>
  <c r="BF78" i="9"/>
  <c r="AT78" i="9"/>
  <c r="AH78" i="9"/>
  <c r="V78" i="9"/>
  <c r="BG75" i="9"/>
  <c r="AB75" i="9"/>
  <c r="AT73" i="9"/>
  <c r="BE72" i="9"/>
  <c r="BD68" i="9"/>
  <c r="U49" i="9"/>
  <c r="AS71" i="9"/>
  <c r="AS73" i="9"/>
  <c r="AE38" i="9"/>
  <c r="AE47" i="9"/>
  <c r="AE50" i="9"/>
  <c r="AE46" i="9"/>
  <c r="AE49" i="9"/>
  <c r="AE45" i="9"/>
  <c r="AE51" i="9"/>
  <c r="AE68" i="9"/>
  <c r="AE60" i="9"/>
  <c r="AE61" i="9" s="1"/>
  <c r="BB38" i="9"/>
  <c r="BB46" i="9"/>
  <c r="BB49" i="9"/>
  <c r="BB50" i="9"/>
  <c r="BB45" i="9"/>
  <c r="AP38" i="9"/>
  <c r="AP50" i="9"/>
  <c r="AP46" i="9"/>
  <c r="AP49" i="9"/>
  <c r="AP45" i="9"/>
  <c r="AD38" i="9"/>
  <c r="AD50" i="9"/>
  <c r="AD46" i="9"/>
  <c r="AD49" i="9"/>
  <c r="AD45" i="9"/>
  <c r="R38" i="9"/>
  <c r="R50" i="9"/>
  <c r="R46" i="9"/>
  <c r="R49" i="9"/>
  <c r="R45" i="9"/>
  <c r="BC71" i="9"/>
  <c r="BC72" i="9"/>
  <c r="AQ71" i="9"/>
  <c r="AQ72" i="9"/>
  <c r="AE71" i="9"/>
  <c r="AE72" i="9"/>
  <c r="S71" i="9"/>
  <c r="S72" i="9"/>
  <c r="BF75" i="9"/>
  <c r="AT75" i="9"/>
  <c r="AH76" i="9"/>
  <c r="AH75" i="9"/>
  <c r="V76" i="9"/>
  <c r="BE102" i="9"/>
  <c r="BE103" i="9" s="1"/>
  <c r="AS102" i="9"/>
  <c r="AS103" i="9" s="1"/>
  <c r="AG102" i="9"/>
  <c r="AG103" i="9" s="1"/>
  <c r="U102" i="9"/>
  <c r="U103" i="9" s="1"/>
  <c r="BA80" i="9"/>
  <c r="AO80" i="9"/>
  <c r="AC80" i="9"/>
  <c r="Q80" i="9"/>
  <c r="AW79" i="9"/>
  <c r="AK79" i="9"/>
  <c r="AG78" i="9"/>
  <c r="BD72" i="9"/>
  <c r="T72" i="9"/>
  <c r="BB68" i="9"/>
  <c r="AF38" i="9"/>
  <c r="AF50" i="9"/>
  <c r="AF46" i="9"/>
  <c r="AF49" i="9"/>
  <c r="AF60" i="9"/>
  <c r="AF61" i="9" s="1"/>
  <c r="AF45" i="9"/>
  <c r="AC38" i="9"/>
  <c r="AC50" i="9"/>
  <c r="AC46" i="9"/>
  <c r="AC49" i="9"/>
  <c r="AC45" i="9"/>
  <c r="AC68" i="9"/>
  <c r="AC60" i="9"/>
  <c r="AC61" i="9" s="1"/>
  <c r="BB71" i="9"/>
  <c r="BB73" i="9"/>
  <c r="AP71" i="9"/>
  <c r="AD71" i="9"/>
  <c r="R71" i="9"/>
  <c r="R73" i="9"/>
  <c r="BE75" i="9"/>
  <c r="AS75" i="9"/>
  <c r="U75" i="9"/>
  <c r="BD102" i="9"/>
  <c r="BD103" i="9" s="1"/>
  <c r="AR102" i="9"/>
  <c r="AR103" i="9" s="1"/>
  <c r="AF102" i="9"/>
  <c r="AF103" i="9" s="1"/>
  <c r="T102" i="9"/>
  <c r="T103" i="9" s="1"/>
  <c r="AZ80" i="9"/>
  <c r="AN80" i="9"/>
  <c r="AB80" i="9"/>
  <c r="P80" i="9"/>
  <c r="AV79" i="9"/>
  <c r="AJ79" i="9"/>
  <c r="X79" i="9"/>
  <c r="AF78" i="9"/>
  <c r="AZ76" i="9"/>
  <c r="Z75" i="9"/>
  <c r="AK73" i="9"/>
  <c r="BB72" i="9"/>
  <c r="R72" i="9"/>
  <c r="W71" i="9"/>
  <c r="AR68" i="9"/>
  <c r="X45" i="9"/>
  <c r="X38" i="9"/>
  <c r="X49" i="9"/>
  <c r="X68" i="9"/>
  <c r="X50" i="9"/>
  <c r="X60" i="9"/>
  <c r="X61" i="9" s="1"/>
  <c r="X46" i="9"/>
  <c r="AG71" i="9"/>
  <c r="AG73" i="9"/>
  <c r="AJ76" i="9"/>
  <c r="AJ75" i="9"/>
  <c r="AT49" i="9"/>
  <c r="AO38" i="9"/>
  <c r="AO47" i="9"/>
  <c r="AO50" i="9"/>
  <c r="AO46" i="9"/>
  <c r="AO49" i="9"/>
  <c r="AO51" i="9"/>
  <c r="AO45" i="9"/>
  <c r="AO68" i="9"/>
  <c r="AO60" i="9"/>
  <c r="AO61" i="9" s="1"/>
  <c r="Q38" i="9"/>
  <c r="Q50" i="9"/>
  <c r="Q46" i="9"/>
  <c r="Q49" i="9"/>
  <c r="Q68" i="9"/>
  <c r="Q60" i="9"/>
  <c r="Q61" i="9" s="1"/>
  <c r="AZ46" i="9"/>
  <c r="AZ49" i="9"/>
  <c r="AZ45" i="9"/>
  <c r="AZ38" i="9"/>
  <c r="AZ68" i="9"/>
  <c r="AZ50" i="9"/>
  <c r="AN46" i="9"/>
  <c r="AN49" i="9"/>
  <c r="AN45" i="9"/>
  <c r="AN50" i="9"/>
  <c r="AN68" i="9"/>
  <c r="AN38" i="9"/>
  <c r="AB46" i="9"/>
  <c r="AB49" i="9"/>
  <c r="AB45" i="9"/>
  <c r="AB68" i="9"/>
  <c r="P46" i="9"/>
  <c r="P49" i="9"/>
  <c r="P45" i="9"/>
  <c r="P50" i="9"/>
  <c r="P38" i="9"/>
  <c r="P68" i="9"/>
  <c r="BA73" i="9"/>
  <c r="AO72" i="9"/>
  <c r="AC73" i="9"/>
  <c r="AC71" i="9"/>
  <c r="Q73" i="9"/>
  <c r="Q71" i="9"/>
  <c r="BD75" i="9"/>
  <c r="AR75" i="9"/>
  <c r="AF75" i="9"/>
  <c r="T75" i="9"/>
  <c r="BC102" i="9"/>
  <c r="BC103" i="9" s="1"/>
  <c r="AQ102" i="9"/>
  <c r="AQ103" i="9" s="1"/>
  <c r="AE102" i="9"/>
  <c r="AE103" i="9" s="1"/>
  <c r="S102" i="9"/>
  <c r="S103" i="9" s="1"/>
  <c r="AY80" i="9"/>
  <c r="AM80" i="9"/>
  <c r="AA80" i="9"/>
  <c r="BG79" i="9"/>
  <c r="AI79" i="9"/>
  <c r="W79" i="9"/>
  <c r="BC78" i="9"/>
  <c r="AQ78" i="9"/>
  <c r="S78" i="9"/>
  <c r="AY76" i="9"/>
  <c r="AG76" i="9"/>
  <c r="W75" i="9"/>
  <c r="AJ73" i="9"/>
  <c r="BG71" i="9"/>
  <c r="AP68" i="9"/>
  <c r="T38" i="9"/>
  <c r="T50" i="9"/>
  <c r="T46" i="9"/>
  <c r="T49" i="9"/>
  <c r="T60" i="9"/>
  <c r="T61" i="9" s="1"/>
  <c r="T45" i="9"/>
  <c r="AM46" i="9"/>
  <c r="AM49" i="9"/>
  <c r="AM42" i="9"/>
  <c r="AM45" i="9"/>
  <c r="AM47" i="9"/>
  <c r="AM50" i="9"/>
  <c r="AM51" i="9"/>
  <c r="AM68" i="9"/>
  <c r="AM60" i="9"/>
  <c r="AM61" i="9" s="1"/>
  <c r="AA46" i="9"/>
  <c r="AA49" i="9"/>
  <c r="AA45" i="9"/>
  <c r="AA68" i="9"/>
  <c r="AA38" i="9"/>
  <c r="AA50" i="9"/>
  <c r="AA60" i="9"/>
  <c r="AA61" i="9" s="1"/>
  <c r="AZ73" i="9"/>
  <c r="AZ72" i="9"/>
  <c r="AN73" i="9"/>
  <c r="AB73" i="9"/>
  <c r="AB72" i="9"/>
  <c r="P73" i="9"/>
  <c r="P72" i="9"/>
  <c r="AE75" i="9"/>
  <c r="BB102" i="9"/>
  <c r="BB103" i="9" s="1"/>
  <c r="AP102" i="9"/>
  <c r="AP103" i="9" s="1"/>
  <c r="AD102" i="9"/>
  <c r="AD103" i="9" s="1"/>
  <c r="R102" i="9"/>
  <c r="R103" i="9" s="1"/>
  <c r="AX76" i="9"/>
  <c r="AF76" i="9"/>
  <c r="AI73" i="9"/>
  <c r="AS72" i="9"/>
  <c r="BA71" i="9"/>
  <c r="AF68" i="9"/>
  <c r="BB60" i="9"/>
  <c r="BB61" i="9" s="1"/>
  <c r="AO42" i="9"/>
  <c r="AJ45" i="9"/>
  <c r="AJ38" i="9"/>
  <c r="AJ68" i="9"/>
  <c r="AJ60" i="9"/>
  <c r="AJ61" i="9" s="1"/>
  <c r="AJ49" i="9"/>
  <c r="AJ46" i="9"/>
  <c r="AJ50" i="9"/>
  <c r="AR38" i="9"/>
  <c r="AR50" i="9"/>
  <c r="AR46" i="9"/>
  <c r="AR60" i="9"/>
  <c r="AR61" i="9" s="1"/>
  <c r="AR49" i="9"/>
  <c r="AR45" i="9"/>
  <c r="U71" i="9"/>
  <c r="U73" i="9"/>
  <c r="X76" i="9"/>
  <c r="X75" i="9"/>
  <c r="BA38" i="9"/>
  <c r="BA46" i="9"/>
  <c r="BA49" i="9"/>
  <c r="BA68" i="9"/>
  <c r="BA60" i="9"/>
  <c r="BA61" i="9" s="1"/>
  <c r="AX46" i="9"/>
  <c r="AX49" i="9"/>
  <c r="AX45" i="9"/>
  <c r="AX38" i="9"/>
  <c r="AX68" i="9"/>
  <c r="AX50" i="9"/>
  <c r="AX60" i="9"/>
  <c r="AX61" i="9" s="1"/>
  <c r="AL46" i="9"/>
  <c r="AL49" i="9"/>
  <c r="AL42" i="9"/>
  <c r="AL45" i="9"/>
  <c r="AL38" i="9"/>
  <c r="AL51" i="9"/>
  <c r="AL68" i="9"/>
  <c r="AL60" i="9"/>
  <c r="AL61" i="9" s="1"/>
  <c r="AL47" i="9"/>
  <c r="AL50" i="9"/>
  <c r="Z46" i="9"/>
  <c r="Z49" i="9"/>
  <c r="Z42" i="9"/>
  <c r="Z45" i="9"/>
  <c r="Z38" i="9"/>
  <c r="Z51" i="9"/>
  <c r="Z68" i="9"/>
  <c r="Z50" i="9"/>
  <c r="Z60" i="9"/>
  <c r="Z61" i="9" s="1"/>
  <c r="Z47" i="9"/>
  <c r="AY73" i="9"/>
  <c r="AY71" i="9"/>
  <c r="AM73" i="9"/>
  <c r="AM71" i="9"/>
  <c r="AA73" i="9"/>
  <c r="AA71" i="9"/>
  <c r="AP75" i="9"/>
  <c r="AD75" i="9"/>
  <c r="R75" i="9"/>
  <c r="AY53" i="9"/>
  <c r="BA102" i="9"/>
  <c r="BA103" i="9" s="1"/>
  <c r="AO102" i="9"/>
  <c r="AO103" i="9" s="1"/>
  <c r="AC102" i="9"/>
  <c r="AC103" i="9" s="1"/>
  <c r="Q102" i="9"/>
  <c r="Q103" i="9" s="1"/>
  <c r="AW76" i="9"/>
  <c r="AU75" i="9"/>
  <c r="P75" i="9"/>
  <c r="AH73" i="9"/>
  <c r="AR72" i="9"/>
  <c r="AZ71" i="9"/>
  <c r="AD68" i="9"/>
  <c r="AZ60" i="9"/>
  <c r="AZ61" i="9" s="1"/>
  <c r="AE42" i="9"/>
  <c r="AV45" i="9"/>
  <c r="AV38" i="9"/>
  <c r="AV46" i="9"/>
  <c r="AV68" i="9"/>
  <c r="AV50" i="9"/>
  <c r="AV60" i="9"/>
  <c r="AV61" i="9" s="1"/>
  <c r="AY46" i="9"/>
  <c r="AY49" i="9"/>
  <c r="AY42" i="9"/>
  <c r="AY45" i="9"/>
  <c r="AY38" i="9"/>
  <c r="AY51" i="9"/>
  <c r="AY47" i="9"/>
  <c r="AY68" i="9"/>
  <c r="AY50" i="9"/>
  <c r="AY60" i="9"/>
  <c r="AY61" i="9" s="1"/>
  <c r="AW46" i="9"/>
  <c r="AW49" i="9"/>
  <c r="AW42" i="9"/>
  <c r="AW45" i="9"/>
  <c r="AW38" i="9"/>
  <c r="AW51" i="9"/>
  <c r="AW47" i="9"/>
  <c r="AW68" i="9"/>
  <c r="AW50" i="9"/>
  <c r="AW60" i="9"/>
  <c r="AW61" i="9" s="1"/>
  <c r="AK46" i="9"/>
  <c r="AK49" i="9"/>
  <c r="AK42" i="9"/>
  <c r="AK45" i="9"/>
  <c r="AK51" i="9"/>
  <c r="AK68" i="9"/>
  <c r="AK60" i="9"/>
  <c r="AK61" i="9" s="1"/>
  <c r="AK38" i="9"/>
  <c r="Y46" i="9"/>
  <c r="Y49" i="9"/>
  <c r="Y45" i="9"/>
  <c r="Y68" i="9"/>
  <c r="Y50" i="9"/>
  <c r="Y60" i="9"/>
  <c r="Y61" i="9" s="1"/>
  <c r="Y38" i="9"/>
  <c r="AX73" i="9"/>
  <c r="AX72" i="9"/>
  <c r="AL73" i="9"/>
  <c r="AL72" i="9"/>
  <c r="Z73" i="9"/>
  <c r="Z72" i="9"/>
  <c r="AL53" i="9"/>
  <c r="Z53" i="9"/>
  <c r="AZ102" i="9"/>
  <c r="AZ103" i="9" s="1"/>
  <c r="AN102" i="9"/>
  <c r="AN103" i="9" s="1"/>
  <c r="AB102" i="9"/>
  <c r="AB103" i="9" s="1"/>
  <c r="P102" i="9"/>
  <c r="P103" i="9" s="1"/>
  <c r="AV76" i="9"/>
  <c r="BG73" i="9"/>
  <c r="AP72" i="9"/>
  <c r="AX71" i="9"/>
  <c r="T68" i="9"/>
  <c r="AP60" i="9"/>
  <c r="AP61" i="9" s="1"/>
  <c r="BC50" i="9"/>
  <c r="AS46" i="9"/>
  <c r="BG42" i="9"/>
  <c r="BG45" i="9"/>
  <c r="BG68" i="9"/>
  <c r="BG60" i="9"/>
  <c r="BG61" i="9" s="1"/>
  <c r="Y72" i="9"/>
  <c r="Y71" i="9"/>
  <c r="AY102" i="9"/>
  <c r="AY103" i="9" s="1"/>
  <c r="AM102" i="9"/>
  <c r="AM103" i="9" s="1"/>
  <c r="AA102" i="9"/>
  <c r="AA103" i="9" s="1"/>
  <c r="BF73" i="9"/>
  <c r="Y73" i="9"/>
  <c r="AM72" i="9"/>
  <c r="AU71" i="9"/>
  <c r="R68" i="9"/>
  <c r="AN60" i="9"/>
  <c r="AN61" i="9" s="1"/>
  <c r="BA50" i="9"/>
  <c r="AI46" i="9"/>
  <c r="O68" i="9"/>
  <c r="O76" i="9"/>
  <c r="O72" i="9"/>
  <c r="O45" i="9"/>
  <c r="O60" i="9"/>
  <c r="O50" i="9"/>
  <c r="O38" i="9"/>
  <c r="O79" i="9"/>
  <c r="O49" i="9"/>
  <c r="O46" i="9"/>
  <c r="O78" i="9"/>
  <c r="O71" i="9"/>
  <c r="O73" i="9"/>
  <c r="O75" i="9"/>
  <c r="O102" i="9"/>
  <c r="F174" i="9"/>
  <c r="F177" i="9" s="1"/>
  <c r="BG38" i="9" l="1"/>
  <c r="BH38" i="9" s="1"/>
  <c r="BG46" i="9"/>
  <c r="BG50" i="9"/>
  <c r="BH50" i="9" s="1"/>
  <c r="BG49" i="9"/>
  <c r="BG47" i="9"/>
  <c r="BH54" i="9"/>
  <c r="BH69" i="9"/>
  <c r="BH46" i="9"/>
  <c r="BH68" i="9"/>
  <c r="BH49" i="9"/>
  <c r="C187" i="9" s="1"/>
  <c r="C201" i="9" s="1"/>
  <c r="F201" i="9" s="1"/>
  <c r="BH60" i="9"/>
  <c r="C188" i="9" s="1"/>
  <c r="C202" i="9" s="1"/>
  <c r="BH45" i="9"/>
  <c r="C186" i="9"/>
  <c r="C200" i="9" s="1"/>
  <c r="F200" i="9" s="1"/>
  <c r="O103" i="9"/>
  <c r="O61" i="9"/>
  <c r="BH61" i="9" s="1"/>
  <c r="BG51" i="9"/>
  <c r="BG102" i="9"/>
  <c r="BG103" i="9" s="1"/>
  <c r="G174" i="9"/>
  <c r="B57" i="12" s="1"/>
  <c r="G146" i="9"/>
  <c r="B46" i="12" s="1"/>
  <c r="G147" i="9"/>
  <c r="B47" i="12" s="1"/>
  <c r="H177" i="9"/>
  <c r="X148" i="9"/>
  <c r="X149" i="9"/>
  <c r="AC148" i="9"/>
  <c r="AC149" i="9"/>
  <c r="O148" i="9"/>
  <c r="O149" i="9"/>
  <c r="AH148" i="9"/>
  <c r="AH149" i="9"/>
  <c r="AJ148" i="9"/>
  <c r="AJ149" i="9"/>
  <c r="AV148" i="9"/>
  <c r="AV149" i="9"/>
  <c r="BF148" i="9"/>
  <c r="BF149" i="9"/>
  <c r="AI148" i="9"/>
  <c r="AI149" i="9"/>
  <c r="AX148" i="9"/>
  <c r="AX149" i="9"/>
  <c r="AZ148" i="9"/>
  <c r="AZ149" i="9"/>
  <c r="AF148" i="9"/>
  <c r="AF149" i="9"/>
  <c r="Z148" i="9"/>
  <c r="Z149" i="9"/>
  <c r="AQ148" i="9"/>
  <c r="AQ149" i="9"/>
  <c r="BD148" i="9"/>
  <c r="BD149" i="9"/>
  <c r="R148" i="9"/>
  <c r="R149" i="9"/>
  <c r="W148" i="9"/>
  <c r="W149" i="9"/>
  <c r="BB148" i="9"/>
  <c r="BB149" i="9"/>
  <c r="AT148" i="9"/>
  <c r="AT149" i="9"/>
  <c r="BG148" i="9"/>
  <c r="BG149" i="9"/>
  <c r="AL148" i="9"/>
  <c r="AL149" i="9"/>
  <c r="AB148" i="9"/>
  <c r="AB149" i="9"/>
  <c r="AO148" i="9"/>
  <c r="AO149" i="9"/>
  <c r="AR148" i="9"/>
  <c r="AR149" i="9"/>
  <c r="AS148" i="9"/>
  <c r="AS149" i="9"/>
  <c r="AK148" i="9"/>
  <c r="AK149" i="9"/>
  <c r="AA148" i="9"/>
  <c r="AA149" i="9"/>
  <c r="AD148" i="9"/>
  <c r="AD149" i="9"/>
  <c r="BC148" i="9"/>
  <c r="BC149" i="9"/>
  <c r="T148" i="9"/>
  <c r="T149" i="9"/>
  <c r="AG148" i="9"/>
  <c r="AG149" i="9"/>
  <c r="AW148" i="9"/>
  <c r="AW149" i="9"/>
  <c r="AM148" i="9"/>
  <c r="AM149" i="9"/>
  <c r="U148" i="9"/>
  <c r="U149" i="9"/>
  <c r="P148" i="9"/>
  <c r="P149" i="9"/>
  <c r="Q148" i="9"/>
  <c r="Q149" i="9"/>
  <c r="AY148" i="9"/>
  <c r="AY149" i="9"/>
  <c r="AE148" i="9"/>
  <c r="AE149" i="9"/>
  <c r="Y148" i="9"/>
  <c r="Y149" i="9"/>
  <c r="AN148" i="9"/>
  <c r="AN149" i="9"/>
  <c r="S148" i="9"/>
  <c r="S149" i="9"/>
  <c r="BA148" i="9"/>
  <c r="BA149" i="9"/>
  <c r="AU148" i="9"/>
  <c r="AU149" i="9"/>
  <c r="BE148" i="9"/>
  <c r="BE149" i="9"/>
  <c r="AP148" i="9"/>
  <c r="AP149" i="9"/>
  <c r="V148" i="9"/>
  <c r="V149" i="9"/>
  <c r="BG81" i="9"/>
  <c r="BF81" i="9"/>
  <c r="Z81" i="9"/>
  <c r="BH103" i="9" l="1"/>
  <c r="BH102" i="9"/>
  <c r="D188" i="9"/>
  <c r="G188" i="9" s="1"/>
  <c r="D186" i="9"/>
  <c r="K186" i="9" s="1"/>
  <c r="D187" i="9"/>
  <c r="K187" i="9" s="1"/>
  <c r="C193" i="9"/>
  <c r="C207" i="9" s="1"/>
  <c r="F207" i="9" s="1"/>
  <c r="G148" i="9"/>
  <c r="B48" i="12" s="1"/>
  <c r="G149" i="9"/>
  <c r="G150" i="9" s="1"/>
  <c r="B49" i="12" s="1"/>
  <c r="F47" i="9"/>
  <c r="E51" i="9"/>
  <c r="E64" i="9"/>
  <c r="F64" i="9"/>
  <c r="D64" i="9"/>
  <c r="E53" i="9"/>
  <c r="E42" i="9"/>
  <c r="D41" i="9"/>
  <c r="D39" i="9"/>
  <c r="I44" i="5"/>
  <c r="D48" i="9"/>
  <c r="E50" i="5"/>
  <c r="F50" i="5"/>
  <c r="G50" i="5"/>
  <c r="D50" i="5"/>
  <c r="D56" i="5" s="1"/>
  <c r="F52" i="9"/>
  <c r="E52" i="9"/>
  <c r="D52" i="9"/>
  <c r="F37" i="9"/>
  <c r="E37" i="9"/>
  <c r="D37" i="9"/>
  <c r="E35" i="9"/>
  <c r="F35" i="9"/>
  <c r="D35" i="9"/>
  <c r="E34" i="9"/>
  <c r="F34" i="9"/>
  <c r="D34" i="9"/>
  <c r="E7" i="9"/>
  <c r="D7" i="9"/>
  <c r="F7" i="9"/>
  <c r="F15" i="4"/>
  <c r="E15" i="4"/>
  <c r="F13" i="4"/>
  <c r="E13" i="4"/>
  <c r="F25" i="4"/>
  <c r="F27" i="4" s="1"/>
  <c r="F28" i="4" s="1"/>
  <c r="E25" i="4"/>
  <c r="E27" i="4" s="1"/>
  <c r="E28" i="4" s="1"/>
  <c r="F19" i="4"/>
  <c r="E19" i="4"/>
  <c r="F4" i="4"/>
  <c r="F7" i="4" s="1"/>
  <c r="E4" i="4"/>
  <c r="E7" i="4" s="1"/>
  <c r="M29" i="6"/>
  <c r="M28" i="6"/>
  <c r="L24" i="6"/>
  <c r="L25" i="6"/>
  <c r="L26" i="6"/>
  <c r="L23" i="6"/>
  <c r="E29" i="4" l="1"/>
  <c r="F29" i="4"/>
  <c r="I186" i="9"/>
  <c r="J188" i="9"/>
  <c r="E202" i="9"/>
  <c r="F202" i="9" s="1"/>
  <c r="D193" i="9"/>
  <c r="K193" i="9" s="1"/>
  <c r="I187" i="9"/>
  <c r="H187" i="9"/>
  <c r="H195" i="9" s="1"/>
  <c r="J187" i="9"/>
  <c r="G153" i="9"/>
  <c r="B56" i="12" s="1"/>
  <c r="O52" i="9"/>
  <c r="AT52" i="9"/>
  <c r="AC52" i="9"/>
  <c r="BA52" i="9"/>
  <c r="Y52" i="9"/>
  <c r="BC52" i="9"/>
  <c r="AP52" i="9"/>
  <c r="BB52" i="9"/>
  <c r="P52" i="9"/>
  <c r="AU52" i="9"/>
  <c r="AS52" i="9"/>
  <c r="AX52" i="9"/>
  <c r="V52" i="9"/>
  <c r="Q52" i="9"/>
  <c r="AB52" i="9"/>
  <c r="AV52" i="9"/>
  <c r="W52" i="9"/>
  <c r="S52" i="9"/>
  <c r="AH52" i="9"/>
  <c r="AQ52" i="9"/>
  <c r="AR52" i="9"/>
  <c r="AN52" i="9"/>
  <c r="AA52" i="9"/>
  <c r="U52" i="9"/>
  <c r="X52" i="9"/>
  <c r="AD52" i="9"/>
  <c r="O64" i="9"/>
  <c r="AP64" i="9"/>
  <c r="AP65" i="9" s="1"/>
  <c r="AV64" i="9"/>
  <c r="AV65" i="9" s="1"/>
  <c r="BC64" i="9"/>
  <c r="BC65" i="9" s="1"/>
  <c r="AD64" i="9"/>
  <c r="AD65" i="9" s="1"/>
  <c r="X64" i="9"/>
  <c r="X65" i="9" s="1"/>
  <c r="AT64" i="9"/>
  <c r="AT65" i="9" s="1"/>
  <c r="U64" i="9"/>
  <c r="U65" i="9" s="1"/>
  <c r="AQ64" i="9"/>
  <c r="AQ65" i="9" s="1"/>
  <c r="V64" i="9"/>
  <c r="V65" i="9" s="1"/>
  <c r="S64" i="9"/>
  <c r="S65" i="9" s="1"/>
  <c r="AA64" i="9"/>
  <c r="AA65" i="9" s="1"/>
  <c r="BB64" i="9"/>
  <c r="BB65" i="9" s="1"/>
  <c r="AB64" i="9"/>
  <c r="AB65" i="9" s="1"/>
  <c r="AU64" i="9"/>
  <c r="AU65" i="9" s="1"/>
  <c r="AN64" i="9"/>
  <c r="AN65" i="9" s="1"/>
  <c r="Y64" i="9"/>
  <c r="Y65" i="9" s="1"/>
  <c r="W64" i="9"/>
  <c r="W65" i="9" s="1"/>
  <c r="BA64" i="9"/>
  <c r="BA65" i="9" s="1"/>
  <c r="P64" i="9"/>
  <c r="P65" i="9" s="1"/>
  <c r="AS64" i="9"/>
  <c r="AS65" i="9" s="1"/>
  <c r="AR64" i="9"/>
  <c r="AR65" i="9" s="1"/>
  <c r="AX64" i="9"/>
  <c r="AX65" i="9" s="1"/>
  <c r="AC64" i="9"/>
  <c r="AC65" i="9" s="1"/>
  <c r="Q64" i="9"/>
  <c r="Q65" i="9" s="1"/>
  <c r="BD47" i="9"/>
  <c r="AI47" i="9"/>
  <c r="AG47" i="9"/>
  <c r="AF47" i="9"/>
  <c r="T47" i="9"/>
  <c r="R47" i="9"/>
  <c r="AJ47" i="9"/>
  <c r="AZ47" i="9"/>
  <c r="O34" i="9"/>
  <c r="V34" i="9"/>
  <c r="U34" i="9"/>
  <c r="S34" i="9"/>
  <c r="Q34" i="9"/>
  <c r="AB34" i="9"/>
  <c r="AD34" i="9"/>
  <c r="AN34" i="9"/>
  <c r="AU34" i="9"/>
  <c r="AQ34" i="9"/>
  <c r="AR34" i="9"/>
  <c r="AH34" i="9"/>
  <c r="AS34" i="9"/>
  <c r="AT34" i="9"/>
  <c r="BC34" i="9"/>
  <c r="AP34" i="9"/>
  <c r="BA34" i="9"/>
  <c r="AC34" i="9"/>
  <c r="BB34" i="9"/>
  <c r="W34" i="9"/>
  <c r="X34" i="9"/>
  <c r="AA34" i="9"/>
  <c r="AX34" i="9"/>
  <c r="AV34" i="9"/>
  <c r="P34" i="9"/>
  <c r="Y34" i="9"/>
  <c r="AM35" i="9"/>
  <c r="AE35" i="9"/>
  <c r="AY35" i="9"/>
  <c r="AK35" i="9"/>
  <c r="Z35" i="9"/>
  <c r="BF35" i="9"/>
  <c r="AL35" i="9"/>
  <c r="BE35" i="9"/>
  <c r="AW35" i="9"/>
  <c r="AO35" i="9"/>
  <c r="BG35" i="9"/>
  <c r="AI35" i="9"/>
  <c r="AG35" i="9"/>
  <c r="AF35" i="9"/>
  <c r="T35" i="9"/>
  <c r="AJ35" i="9"/>
  <c r="R35" i="9"/>
  <c r="AZ35" i="9"/>
  <c r="BD35" i="9"/>
  <c r="F48" i="9"/>
  <c r="AM48" i="9"/>
  <c r="AY48" i="9"/>
  <c r="AE48" i="9"/>
  <c r="Z48" i="9"/>
  <c r="BF48" i="9"/>
  <c r="AL48" i="9"/>
  <c r="BE48" i="9"/>
  <c r="AO48" i="9"/>
  <c r="AK48" i="9"/>
  <c r="BG48" i="9"/>
  <c r="AW48" i="9"/>
  <c r="O53" i="9"/>
  <c r="AS53" i="9"/>
  <c r="AQ53" i="9"/>
  <c r="AP53" i="9"/>
  <c r="AR53" i="9"/>
  <c r="AD53" i="9"/>
  <c r="AC53" i="9"/>
  <c r="BA53" i="9"/>
  <c r="AT53" i="9"/>
  <c r="V53" i="9"/>
  <c r="X53" i="9"/>
  <c r="P53" i="9"/>
  <c r="AH53" i="9"/>
  <c r="AA53" i="9"/>
  <c r="O35" i="9"/>
  <c r="AT35" i="9"/>
  <c r="BC35" i="9"/>
  <c r="AC35" i="9"/>
  <c r="BA35" i="9"/>
  <c r="AA35" i="9"/>
  <c r="BB35" i="9"/>
  <c r="AN35" i="9"/>
  <c r="AU35" i="9"/>
  <c r="AB35" i="9"/>
  <c r="V35" i="9"/>
  <c r="S35" i="9"/>
  <c r="Q35" i="9"/>
  <c r="AV35" i="9"/>
  <c r="AS35" i="9"/>
  <c r="AQ35" i="9"/>
  <c r="AH35" i="9"/>
  <c r="U35" i="9"/>
  <c r="AP35" i="9"/>
  <c r="X35" i="9"/>
  <c r="AD35" i="9"/>
  <c r="P35" i="9"/>
  <c r="Y35" i="9"/>
  <c r="AR35" i="9"/>
  <c r="AX35" i="9"/>
  <c r="W35" i="9"/>
  <c r="BE43" i="9"/>
  <c r="AE43" i="9"/>
  <c r="BG43" i="9"/>
  <c r="AO43" i="9"/>
  <c r="AM43" i="9"/>
  <c r="AY43" i="9"/>
  <c r="BF43" i="9"/>
  <c r="AL43" i="9"/>
  <c r="Z43" i="9"/>
  <c r="AW43" i="9"/>
  <c r="AK43" i="9"/>
  <c r="O51" i="9"/>
  <c r="AU51" i="9"/>
  <c r="AS51" i="9"/>
  <c r="X51" i="9"/>
  <c r="AB51" i="9"/>
  <c r="Y51" i="9"/>
  <c r="AH51" i="9"/>
  <c r="AD51" i="9"/>
  <c r="AT51" i="9"/>
  <c r="AQ51" i="9"/>
  <c r="AC51" i="9"/>
  <c r="AR51" i="9"/>
  <c r="AP51" i="9"/>
  <c r="AN51" i="9"/>
  <c r="BA51" i="9"/>
  <c r="BC51" i="9"/>
  <c r="BB51" i="9"/>
  <c r="V51" i="9"/>
  <c r="S51" i="9"/>
  <c r="P51" i="9"/>
  <c r="Q51" i="9"/>
  <c r="W51" i="9"/>
  <c r="U51" i="9"/>
  <c r="AA51" i="9"/>
  <c r="AX51" i="9"/>
  <c r="AV51" i="9"/>
  <c r="F39" i="9"/>
  <c r="Z39" i="9"/>
  <c r="BF39" i="9"/>
  <c r="AL39" i="9"/>
  <c r="AO39" i="9"/>
  <c r="AW39" i="9"/>
  <c r="BE39" i="9"/>
  <c r="AE39" i="9"/>
  <c r="AK39" i="9"/>
  <c r="AM39" i="9"/>
  <c r="AY39" i="9"/>
  <c r="BG39" i="9"/>
  <c r="AF43" i="9"/>
  <c r="T43" i="9"/>
  <c r="R43" i="9"/>
  <c r="AG43" i="9"/>
  <c r="BD43" i="9"/>
  <c r="AI43" i="9"/>
  <c r="AZ43" i="9"/>
  <c r="AJ43" i="9"/>
  <c r="AI52" i="9"/>
  <c r="AG52" i="9"/>
  <c r="AZ52" i="9"/>
  <c r="AJ52" i="9"/>
  <c r="AF52" i="9"/>
  <c r="T52" i="9"/>
  <c r="R52" i="9"/>
  <c r="BD52" i="9"/>
  <c r="AW40" i="9"/>
  <c r="AE40" i="9"/>
  <c r="BF40" i="9"/>
  <c r="BE40" i="9"/>
  <c r="AO40" i="9"/>
  <c r="AM40" i="9"/>
  <c r="AY40" i="9"/>
  <c r="AL40" i="9"/>
  <c r="Z40" i="9"/>
  <c r="BG40" i="9"/>
  <c r="AK40" i="9"/>
  <c r="O43" i="9"/>
  <c r="AA43" i="9"/>
  <c r="AX43" i="9"/>
  <c r="W43" i="9"/>
  <c r="AH43" i="9"/>
  <c r="AS43" i="9"/>
  <c r="S43" i="9"/>
  <c r="Q43" i="9"/>
  <c r="AB43" i="9"/>
  <c r="AU43" i="9"/>
  <c r="AD43" i="9"/>
  <c r="AN43" i="9"/>
  <c r="AV43" i="9"/>
  <c r="AQ43" i="9"/>
  <c r="AR43" i="9"/>
  <c r="AT43" i="9"/>
  <c r="U43" i="9"/>
  <c r="P43" i="9"/>
  <c r="BB43" i="9"/>
  <c r="V43" i="9"/>
  <c r="Y43" i="9"/>
  <c r="AC43" i="9"/>
  <c r="BC43" i="9"/>
  <c r="BA43" i="9"/>
  <c r="AP43" i="9"/>
  <c r="X43" i="9"/>
  <c r="BF34" i="9"/>
  <c r="AO34" i="9"/>
  <c r="AM34" i="9"/>
  <c r="AK34" i="9"/>
  <c r="Z34" i="9"/>
  <c r="BE34" i="9"/>
  <c r="AE34" i="9"/>
  <c r="AL34" i="9"/>
  <c r="BG34" i="9"/>
  <c r="AW34" i="9"/>
  <c r="AY34" i="9"/>
  <c r="AE37" i="9"/>
  <c r="BF37" i="9"/>
  <c r="AO37" i="9"/>
  <c r="AM37" i="9"/>
  <c r="AW37" i="9"/>
  <c r="AY37" i="9"/>
  <c r="AL37" i="9"/>
  <c r="Z37" i="9"/>
  <c r="BE37" i="9"/>
  <c r="AK37" i="9"/>
  <c r="BG37" i="9"/>
  <c r="R37" i="9"/>
  <c r="BD37" i="9"/>
  <c r="AI37" i="9"/>
  <c r="AG37" i="9"/>
  <c r="AZ37" i="9"/>
  <c r="AJ37" i="9"/>
  <c r="T37" i="9"/>
  <c r="AF37" i="9"/>
  <c r="E41" i="9"/>
  <c r="BE41" i="9"/>
  <c r="AL41" i="9"/>
  <c r="AE41" i="9"/>
  <c r="BF41" i="9"/>
  <c r="BG41" i="9"/>
  <c r="Z41" i="9"/>
  <c r="AM41" i="9"/>
  <c r="AW41" i="9"/>
  <c r="AO41" i="9"/>
  <c r="AY41" i="9"/>
  <c r="AK41" i="9"/>
  <c r="D65" i="9"/>
  <c r="C7" i="12" s="1"/>
  <c r="BF64" i="9"/>
  <c r="BF65" i="9" s="1"/>
  <c r="AE64" i="9"/>
  <c r="AE65" i="9" s="1"/>
  <c r="AY64" i="9"/>
  <c r="AY65" i="9" s="1"/>
  <c r="AM64" i="9"/>
  <c r="AM65" i="9" s="1"/>
  <c r="BG64" i="9"/>
  <c r="BG65" i="9" s="1"/>
  <c r="BE64" i="9"/>
  <c r="BE65" i="9" s="1"/>
  <c r="AW64" i="9"/>
  <c r="AW65" i="9" s="1"/>
  <c r="AK64" i="9"/>
  <c r="AK65" i="9" s="1"/>
  <c r="AL64" i="9"/>
  <c r="AL65" i="9" s="1"/>
  <c r="Z64" i="9"/>
  <c r="Z65" i="9" s="1"/>
  <c r="AO64" i="9"/>
  <c r="AO65" i="9" s="1"/>
  <c r="BD34" i="9"/>
  <c r="AZ34" i="9"/>
  <c r="AG34" i="9"/>
  <c r="R34" i="9"/>
  <c r="T34" i="9"/>
  <c r="AF34" i="9"/>
  <c r="AI34" i="9"/>
  <c r="AJ34" i="9"/>
  <c r="O37" i="9"/>
  <c r="AU37" i="9"/>
  <c r="AV37" i="9"/>
  <c r="V37" i="9"/>
  <c r="AS37" i="9"/>
  <c r="S37" i="9"/>
  <c r="Q37" i="9"/>
  <c r="AB37" i="9"/>
  <c r="X37" i="9"/>
  <c r="AD37" i="9"/>
  <c r="AN37" i="9"/>
  <c r="AQ37" i="9"/>
  <c r="AR37" i="9"/>
  <c r="AH37" i="9"/>
  <c r="AT37" i="9"/>
  <c r="BC37" i="9"/>
  <c r="AP37" i="9"/>
  <c r="BA37" i="9"/>
  <c r="AC37" i="9"/>
  <c r="W37" i="9"/>
  <c r="U37" i="9"/>
  <c r="Y37" i="9"/>
  <c r="AA37" i="9"/>
  <c r="AX37" i="9"/>
  <c r="P37" i="9"/>
  <c r="BB37" i="9"/>
  <c r="AL52" i="9"/>
  <c r="Z52" i="9"/>
  <c r="AE52" i="9"/>
  <c r="AW52" i="9"/>
  <c r="BE52" i="9"/>
  <c r="AO52" i="9"/>
  <c r="BF52" i="9"/>
  <c r="AY52" i="9"/>
  <c r="AM52" i="9"/>
  <c r="BG52" i="9"/>
  <c r="AK52" i="9"/>
  <c r="O42" i="9"/>
  <c r="AU42" i="9"/>
  <c r="BA42" i="9"/>
  <c r="V42" i="9"/>
  <c r="AD42" i="9"/>
  <c r="AS42" i="9"/>
  <c r="BC42" i="9"/>
  <c r="P42" i="9"/>
  <c r="W42" i="9"/>
  <c r="BB42" i="9"/>
  <c r="AA42" i="9"/>
  <c r="AX42" i="9"/>
  <c r="AC42" i="9"/>
  <c r="X42" i="9"/>
  <c r="AH42" i="9"/>
  <c r="AP42" i="9"/>
  <c r="AT42" i="9"/>
  <c r="AQ42" i="9"/>
  <c r="S42" i="9"/>
  <c r="Q42" i="9"/>
  <c r="AB42" i="9"/>
  <c r="AN42" i="9"/>
  <c r="Y42" i="9"/>
  <c r="AV42" i="9"/>
  <c r="AR42" i="9"/>
  <c r="U42" i="9"/>
  <c r="F65" i="9"/>
  <c r="E7" i="12" s="1"/>
  <c r="AG64" i="9"/>
  <c r="AG65" i="9" s="1"/>
  <c r="BD64" i="9"/>
  <c r="BD65" i="9" s="1"/>
  <c r="R64" i="9"/>
  <c r="R65" i="9" s="1"/>
  <c r="T64" i="9"/>
  <c r="T65" i="9" s="1"/>
  <c r="AI64" i="9"/>
  <c r="AI65" i="9" s="1"/>
  <c r="AF64" i="9"/>
  <c r="AF65" i="9" s="1"/>
  <c r="AZ64" i="9"/>
  <c r="AZ65" i="9" s="1"/>
  <c r="E65" i="9"/>
  <c r="D7" i="12" s="1"/>
  <c r="F53" i="9"/>
  <c r="F51" i="9"/>
  <c r="F44" i="9"/>
  <c r="E44" i="9"/>
  <c r="D44" i="9"/>
  <c r="E47" i="9"/>
  <c r="F41" i="9"/>
  <c r="F42" i="9"/>
  <c r="F40" i="9"/>
  <c r="E39" i="9"/>
  <c r="E40" i="9"/>
  <c r="E48" i="9"/>
  <c r="G56" i="5"/>
  <c r="F56" i="5"/>
  <c r="E56" i="5"/>
  <c r="F6" i="4"/>
  <c r="F37" i="4"/>
  <c r="E6" i="4"/>
  <c r="E37" i="4"/>
  <c r="E10" i="9" s="1"/>
  <c r="J195" i="9" l="1"/>
  <c r="G177" i="9"/>
  <c r="B58" i="12" s="1"/>
  <c r="B52" i="12"/>
  <c r="BH35" i="9"/>
  <c r="BH52" i="9"/>
  <c r="BH34" i="9"/>
  <c r="BH37" i="9"/>
  <c r="BH43" i="9"/>
  <c r="BH64" i="9"/>
  <c r="C192" i="9" s="1"/>
  <c r="C206" i="9" s="1"/>
  <c r="I193" i="9"/>
  <c r="O65" i="9"/>
  <c r="BH65" i="9" s="1"/>
  <c r="R40" i="9"/>
  <c r="AI40" i="9"/>
  <c r="AG40" i="9"/>
  <c r="AJ40" i="9"/>
  <c r="BD40" i="9"/>
  <c r="AZ40" i="9"/>
  <c r="AF40" i="9"/>
  <c r="T40" i="9"/>
  <c r="O44" i="9"/>
  <c r="AQ44" i="9"/>
  <c r="X44" i="9"/>
  <c r="AR44" i="9"/>
  <c r="AH44" i="9"/>
  <c r="U44" i="9"/>
  <c r="AP44" i="9"/>
  <c r="P44" i="9"/>
  <c r="AT44" i="9"/>
  <c r="BC44" i="9"/>
  <c r="AC44" i="9"/>
  <c r="BA44" i="9"/>
  <c r="AX44" i="9"/>
  <c r="BB44" i="9"/>
  <c r="AN44" i="9"/>
  <c r="V44" i="9"/>
  <c r="AS44" i="9"/>
  <c r="W44" i="9"/>
  <c r="AD44" i="9"/>
  <c r="AB44" i="9"/>
  <c r="AV44" i="9"/>
  <c r="Y44" i="9"/>
  <c r="AA44" i="9"/>
  <c r="AU44" i="9"/>
  <c r="Q44" i="9"/>
  <c r="S44" i="9"/>
  <c r="BD44" i="9"/>
  <c r="AI44" i="9"/>
  <c r="AG44" i="9"/>
  <c r="AF44" i="9"/>
  <c r="T44" i="9"/>
  <c r="AJ44" i="9"/>
  <c r="AZ44" i="9"/>
  <c r="R44" i="9"/>
  <c r="AI41" i="9"/>
  <c r="AZ41" i="9"/>
  <c r="AG41" i="9"/>
  <c r="AF41" i="9"/>
  <c r="T41" i="9"/>
  <c r="AJ41" i="9"/>
  <c r="R41" i="9"/>
  <c r="BD41" i="9"/>
  <c r="O47" i="9"/>
  <c r="W47" i="9"/>
  <c r="AD47" i="9"/>
  <c r="P47" i="9"/>
  <c r="AX47" i="9"/>
  <c r="AQ47" i="9"/>
  <c r="X47" i="9"/>
  <c r="AN47" i="9"/>
  <c r="AR47" i="9"/>
  <c r="AH47" i="9"/>
  <c r="U47" i="9"/>
  <c r="AP47" i="9"/>
  <c r="AT47" i="9"/>
  <c r="BC47" i="9"/>
  <c r="AC47" i="9"/>
  <c r="AB47" i="9"/>
  <c r="BA47" i="9"/>
  <c r="BB47" i="9"/>
  <c r="AU47" i="9"/>
  <c r="V47" i="9"/>
  <c r="S47" i="9"/>
  <c r="AS47" i="9"/>
  <c r="AV47" i="9"/>
  <c r="Y47" i="9"/>
  <c r="AA47" i="9"/>
  <c r="Q47" i="9"/>
  <c r="AI48" i="9"/>
  <c r="R48" i="9"/>
  <c r="AG48" i="9"/>
  <c r="AZ48" i="9"/>
  <c r="AJ48" i="9"/>
  <c r="BD48" i="9"/>
  <c r="AF48" i="9"/>
  <c r="T48" i="9"/>
  <c r="AI51" i="9"/>
  <c r="BD51" i="9"/>
  <c r="AZ51" i="9"/>
  <c r="AJ51" i="9"/>
  <c r="AG51" i="9"/>
  <c r="R51" i="9"/>
  <c r="AF51" i="9"/>
  <c r="T51" i="9"/>
  <c r="AF53" i="9"/>
  <c r="T53" i="9"/>
  <c r="AZ53" i="9"/>
  <c r="O48" i="9"/>
  <c r="AN48" i="9"/>
  <c r="S48" i="9"/>
  <c r="AQ48" i="9"/>
  <c r="BC48" i="9"/>
  <c r="AC48" i="9"/>
  <c r="Q48" i="9"/>
  <c r="AR48" i="9"/>
  <c r="AP48" i="9"/>
  <c r="AU48" i="9"/>
  <c r="AD48" i="9"/>
  <c r="V48" i="9"/>
  <c r="AV48" i="9"/>
  <c r="AS48" i="9"/>
  <c r="P48" i="9"/>
  <c r="BA48" i="9"/>
  <c r="W48" i="9"/>
  <c r="AA48" i="9"/>
  <c r="AX48" i="9"/>
  <c r="AH48" i="9"/>
  <c r="U48" i="9"/>
  <c r="AT48" i="9"/>
  <c r="BB48" i="9"/>
  <c r="AB48" i="9"/>
  <c r="Y48" i="9"/>
  <c r="X48" i="9"/>
  <c r="O40" i="9"/>
  <c r="V40" i="9"/>
  <c r="S40" i="9"/>
  <c r="Q40" i="9"/>
  <c r="AB40" i="9"/>
  <c r="AD40" i="9"/>
  <c r="AN40" i="9"/>
  <c r="W40" i="9"/>
  <c r="AQ40" i="9"/>
  <c r="AR40" i="9"/>
  <c r="AH40" i="9"/>
  <c r="X40" i="9"/>
  <c r="AT40" i="9"/>
  <c r="U40" i="9"/>
  <c r="BC40" i="9"/>
  <c r="AP40" i="9"/>
  <c r="BA40" i="9"/>
  <c r="AU40" i="9"/>
  <c r="AA40" i="9"/>
  <c r="AX40" i="9"/>
  <c r="BB40" i="9"/>
  <c r="AS40" i="9"/>
  <c r="Y40" i="9"/>
  <c r="AC40" i="9"/>
  <c r="AV40" i="9"/>
  <c r="P40" i="9"/>
  <c r="AJ39" i="9"/>
  <c r="AF39" i="9"/>
  <c r="R39" i="9"/>
  <c r="T39" i="9"/>
  <c r="AI39" i="9"/>
  <c r="BD39" i="9"/>
  <c r="AG39" i="9"/>
  <c r="AZ39" i="9"/>
  <c r="AG42" i="9"/>
  <c r="AZ42" i="9"/>
  <c r="BD42" i="9"/>
  <c r="AJ42" i="9"/>
  <c r="AI42" i="9"/>
  <c r="AF42" i="9"/>
  <c r="T42" i="9"/>
  <c r="R42" i="9"/>
  <c r="O39" i="9"/>
  <c r="BC39" i="9"/>
  <c r="AP39" i="9"/>
  <c r="AU39" i="9"/>
  <c r="V39" i="9"/>
  <c r="BB39" i="9"/>
  <c r="AS39" i="9"/>
  <c r="P39" i="9"/>
  <c r="W39" i="9"/>
  <c r="AA39" i="9"/>
  <c r="AX39" i="9"/>
  <c r="AC39" i="9"/>
  <c r="X39" i="9"/>
  <c r="AH39" i="9"/>
  <c r="AR39" i="9"/>
  <c r="AQ39" i="9"/>
  <c r="U39" i="9"/>
  <c r="AB39" i="9"/>
  <c r="BA39" i="9"/>
  <c r="Q39" i="9"/>
  <c r="S39" i="9"/>
  <c r="AN39" i="9"/>
  <c r="Y39" i="9"/>
  <c r="AV39" i="9"/>
  <c r="AT39" i="9"/>
  <c r="AD39" i="9"/>
  <c r="AY44" i="9"/>
  <c r="BE44" i="9"/>
  <c r="Z44" i="9"/>
  <c r="AW44" i="9"/>
  <c r="AM44" i="9"/>
  <c r="BF44" i="9"/>
  <c r="AO44" i="9"/>
  <c r="AL44" i="9"/>
  <c r="AE44" i="9"/>
  <c r="BG44" i="9"/>
  <c r="AK44" i="9"/>
  <c r="O41" i="9"/>
  <c r="AH41" i="9"/>
  <c r="U41" i="9"/>
  <c r="AP41" i="9"/>
  <c r="AT41" i="9"/>
  <c r="BC41" i="9"/>
  <c r="AC41" i="9"/>
  <c r="AB41" i="9"/>
  <c r="BA41" i="9"/>
  <c r="BB41" i="9"/>
  <c r="AU41" i="9"/>
  <c r="P41" i="9"/>
  <c r="AX41" i="9"/>
  <c r="AS41" i="9"/>
  <c r="W41" i="9"/>
  <c r="AQ41" i="9"/>
  <c r="X41" i="9"/>
  <c r="AA41" i="9"/>
  <c r="AR41" i="9"/>
  <c r="AD41" i="9"/>
  <c r="V41" i="9"/>
  <c r="Q41" i="9"/>
  <c r="S41" i="9"/>
  <c r="AV41" i="9"/>
  <c r="Y41" i="9"/>
  <c r="AN41" i="9"/>
  <c r="E31" i="4"/>
  <c r="E16" i="4"/>
  <c r="E8" i="9" s="1"/>
  <c r="F31" i="4"/>
  <c r="F16" i="4"/>
  <c r="BH53" i="9" l="1"/>
  <c r="BH44" i="9"/>
  <c r="BH42" i="9"/>
  <c r="BH51" i="9"/>
  <c r="BH41" i="9"/>
  <c r="BH39" i="9"/>
  <c r="BH47" i="9"/>
  <c r="BH40" i="9"/>
  <c r="BH48" i="9"/>
  <c r="D192" i="9"/>
  <c r="G192" i="9" s="1"/>
  <c r="E206" i="9" s="1"/>
  <c r="F206" i="9" s="1"/>
  <c r="C189" i="9"/>
  <c r="C203" i="9" s="1"/>
  <c r="F203" i="9" s="1"/>
  <c r="C185" i="9"/>
  <c r="C199" i="9" s="1"/>
  <c r="F199" i="9" s="1"/>
  <c r="E35" i="5"/>
  <c r="F35" i="5"/>
  <c r="G35" i="5"/>
  <c r="F36" i="9" s="1"/>
  <c r="F55" i="9" s="1"/>
  <c r="D35" i="5"/>
  <c r="AA5" i="7"/>
  <c r="AA4" i="7"/>
  <c r="P48" i="7"/>
  <c r="S48" i="7" s="1"/>
  <c r="O48" i="7"/>
  <c r="R48" i="7" s="1"/>
  <c r="S47" i="7"/>
  <c r="R47" i="7"/>
  <c r="S46" i="7"/>
  <c r="R46" i="7"/>
  <c r="S45" i="7"/>
  <c r="R45" i="7"/>
  <c r="S44" i="7"/>
  <c r="R44" i="7"/>
  <c r="S43" i="7"/>
  <c r="R43" i="7"/>
  <c r="S42" i="7"/>
  <c r="R42" i="7"/>
  <c r="S41" i="7"/>
  <c r="R41" i="7"/>
  <c r="S40" i="7"/>
  <c r="R40" i="7"/>
  <c r="S39" i="7"/>
  <c r="R39" i="7"/>
  <c r="S38" i="7"/>
  <c r="R38" i="7"/>
  <c r="S37" i="7"/>
  <c r="R37" i="7"/>
  <c r="S36" i="7"/>
  <c r="R36" i="7"/>
  <c r="S35" i="7"/>
  <c r="R35" i="7"/>
  <c r="J35" i="7"/>
  <c r="S34" i="7"/>
  <c r="R34" i="7"/>
  <c r="S33" i="7"/>
  <c r="R33" i="7"/>
  <c r="S32" i="7"/>
  <c r="R32" i="7"/>
  <c r="S31" i="7"/>
  <c r="R31" i="7"/>
  <c r="S30" i="7"/>
  <c r="R30" i="7"/>
  <c r="S29" i="7"/>
  <c r="R29" i="7"/>
  <c r="S28" i="7"/>
  <c r="R28" i="7"/>
  <c r="S27" i="7"/>
  <c r="R27" i="7"/>
  <c r="S26" i="7"/>
  <c r="R26" i="7"/>
  <c r="S25" i="7"/>
  <c r="R25" i="7"/>
  <c r="S24" i="7"/>
  <c r="R24" i="7"/>
  <c r="S23" i="7"/>
  <c r="R23" i="7"/>
  <c r="S22" i="7"/>
  <c r="R22" i="7"/>
  <c r="S21" i="7"/>
  <c r="R21" i="7"/>
  <c r="S20" i="7"/>
  <c r="R20" i="7"/>
  <c r="S19" i="7"/>
  <c r="R19" i="7"/>
  <c r="S18" i="7"/>
  <c r="R18" i="7"/>
  <c r="S17" i="7"/>
  <c r="R17" i="7"/>
  <c r="S16" i="7"/>
  <c r="R16" i="7"/>
  <c r="S15" i="7"/>
  <c r="R15" i="7"/>
  <c r="S14" i="7"/>
  <c r="R14" i="7"/>
  <c r="S13" i="7"/>
  <c r="R13" i="7"/>
  <c r="S12" i="7"/>
  <c r="R12" i="7"/>
  <c r="S11" i="7"/>
  <c r="R11" i="7"/>
  <c r="S10" i="7"/>
  <c r="R10" i="7"/>
  <c r="S9" i="7"/>
  <c r="R9" i="7"/>
  <c r="S8" i="7"/>
  <c r="R8" i="7"/>
  <c r="S7" i="7"/>
  <c r="R7" i="7"/>
  <c r="S6" i="7"/>
  <c r="R6" i="7"/>
  <c r="S5" i="7"/>
  <c r="R5" i="7"/>
  <c r="S4" i="7"/>
  <c r="R4"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D92" i="5"/>
  <c r="D84" i="5"/>
  <c r="C19" i="4"/>
  <c r="B19" i="4"/>
  <c r="C25" i="4"/>
  <c r="C27" i="4" s="1"/>
  <c r="C15" i="4"/>
  <c r="C13" i="4"/>
  <c r="C4" i="4"/>
  <c r="I4" i="4"/>
  <c r="I25" i="4"/>
  <c r="I27" i="4" s="1"/>
  <c r="I19" i="4"/>
  <c r="I12" i="4"/>
  <c r="B4" i="4"/>
  <c r="B29" i="4" s="1"/>
  <c r="H25" i="4"/>
  <c r="H27" i="4" s="1"/>
  <c r="H19" i="4"/>
  <c r="B15" i="4"/>
  <c r="B13" i="4"/>
  <c r="H12" i="4"/>
  <c r="J4" i="4"/>
  <c r="C6" i="4" l="1"/>
  <c r="C29" i="4"/>
  <c r="I6" i="4"/>
  <c r="I29" i="4"/>
  <c r="I192" i="9"/>
  <c r="K192" i="9"/>
  <c r="D189" i="9"/>
  <c r="K189" i="9" s="1"/>
  <c r="D185" i="9"/>
  <c r="I185" i="9" s="1"/>
  <c r="F56" i="9"/>
  <c r="BD36" i="9"/>
  <c r="T36" i="9"/>
  <c r="R36" i="9"/>
  <c r="AG36" i="9"/>
  <c r="AF36" i="9"/>
  <c r="AJ36" i="9"/>
  <c r="AI36" i="9"/>
  <c r="AZ36" i="9"/>
  <c r="D36" i="9"/>
  <c r="D55" i="9" s="1"/>
  <c r="E36" i="9"/>
  <c r="E55" i="9" s="1"/>
  <c r="B12" i="4"/>
  <c r="B30" i="4" s="1"/>
  <c r="E12" i="4"/>
  <c r="C12" i="4"/>
  <c r="F12" i="4"/>
  <c r="B7" i="4"/>
  <c r="F32" i="4"/>
  <c r="E33" i="4"/>
  <c r="E32" i="4"/>
  <c r="F33" i="4"/>
  <c r="C16" i="4"/>
  <c r="C31" i="4"/>
  <c r="I16" i="4"/>
  <c r="I31" i="4"/>
  <c r="C33" i="4"/>
  <c r="C32" i="4"/>
  <c r="C28" i="4"/>
  <c r="C37" i="4" s="1"/>
  <c r="C7" i="4"/>
  <c r="I7" i="4"/>
  <c r="I28" i="4"/>
  <c r="I37" i="4" s="1"/>
  <c r="B6" i="4"/>
  <c r="B32" i="4"/>
  <c r="H28" i="4"/>
  <c r="B33" i="4"/>
  <c r="K185" i="9" l="1"/>
  <c r="I189" i="9"/>
  <c r="B37" i="4"/>
  <c r="D10" i="9" s="1"/>
  <c r="E56" i="9"/>
  <c r="D56" i="9"/>
  <c r="O36" i="9"/>
  <c r="AU36" i="9"/>
  <c r="Q36" i="9"/>
  <c r="V36" i="9"/>
  <c r="S36" i="9"/>
  <c r="BB36" i="9"/>
  <c r="AV36" i="9"/>
  <c r="AS36" i="9"/>
  <c r="P36" i="9"/>
  <c r="W36" i="9"/>
  <c r="BC36" i="9"/>
  <c r="AA36" i="9"/>
  <c r="BA36" i="9"/>
  <c r="AX36" i="9"/>
  <c r="X36" i="9"/>
  <c r="AH36" i="9"/>
  <c r="U36" i="9"/>
  <c r="AB36" i="9"/>
  <c r="AT36" i="9"/>
  <c r="AQ36" i="9"/>
  <c r="AP36" i="9"/>
  <c r="AR36" i="9"/>
  <c r="AN36" i="9"/>
  <c r="Y36" i="9"/>
  <c r="AD36" i="9"/>
  <c r="AC36" i="9"/>
  <c r="AK36" i="9"/>
  <c r="Z36" i="9"/>
  <c r="BF36" i="9"/>
  <c r="AL36" i="9"/>
  <c r="BE36" i="9"/>
  <c r="AM36" i="9"/>
  <c r="AY36" i="9"/>
  <c r="AE36" i="9"/>
  <c r="BG36" i="9"/>
  <c r="AW36" i="9"/>
  <c r="AO36" i="9"/>
  <c r="F57" i="9"/>
  <c r="E5" i="12" s="1"/>
  <c r="AI56" i="9"/>
  <c r="AG56" i="9"/>
  <c r="AZ56" i="9"/>
  <c r="AJ56" i="9"/>
  <c r="AF56" i="9"/>
  <c r="T56" i="9"/>
  <c r="BD56" i="9"/>
  <c r="R56" i="9"/>
  <c r="BD55" i="9"/>
  <c r="AZ55" i="9"/>
  <c r="AI55" i="9"/>
  <c r="R55" i="9"/>
  <c r="AF55" i="9"/>
  <c r="T55" i="9"/>
  <c r="AG55" i="9"/>
  <c r="AJ55" i="9"/>
  <c r="B31" i="4"/>
  <c r="B16" i="4"/>
  <c r="D8" i="9" s="1"/>
  <c r="BH36" i="9" l="1"/>
  <c r="C184" i="9" s="1"/>
  <c r="C198" i="9" s="1"/>
  <c r="F198" i="9" s="1"/>
  <c r="F91" i="9"/>
  <c r="AF91" i="9" s="1"/>
  <c r="AF92" i="9" s="1"/>
  <c r="R57" i="9"/>
  <c r="AJ57" i="9"/>
  <c r="BD57" i="9"/>
  <c r="AG57" i="9"/>
  <c r="T57" i="9"/>
  <c r="AF57" i="9"/>
  <c r="AI57" i="9"/>
  <c r="AZ57" i="9"/>
  <c r="O56" i="9"/>
  <c r="Y56" i="9"/>
  <c r="AQ56" i="9"/>
  <c r="AR56" i="9"/>
  <c r="AT56" i="9"/>
  <c r="AC56" i="9"/>
  <c r="BA56" i="9"/>
  <c r="BC56" i="9"/>
  <c r="AP56" i="9"/>
  <c r="BB56" i="9"/>
  <c r="P56" i="9"/>
  <c r="AU56" i="9"/>
  <c r="AS56" i="9"/>
  <c r="AX56" i="9"/>
  <c r="V56" i="9"/>
  <c r="Q56" i="9"/>
  <c r="AB56" i="9"/>
  <c r="AA56" i="9"/>
  <c r="U56" i="9"/>
  <c r="AH56" i="9"/>
  <c r="AD56" i="9"/>
  <c r="AN56" i="9"/>
  <c r="S56" i="9"/>
  <c r="W56" i="9"/>
  <c r="AV56" i="9"/>
  <c r="X56" i="9"/>
  <c r="T95" i="9"/>
  <c r="T97" i="9" s="1"/>
  <c r="AF95" i="9"/>
  <c r="AF97" i="9" s="1"/>
  <c r="AI95" i="9"/>
  <c r="AI97" i="9" s="1"/>
  <c r="R95" i="9"/>
  <c r="R97" i="9" s="1"/>
  <c r="AG95" i="9"/>
  <c r="AG97" i="9" s="1"/>
  <c r="BD95" i="9"/>
  <c r="BD97" i="9" s="1"/>
  <c r="AJ95" i="9"/>
  <c r="AJ97" i="9" s="1"/>
  <c r="AZ95" i="9"/>
  <c r="AZ97" i="9" s="1"/>
  <c r="D57" i="9"/>
  <c r="AK56" i="9"/>
  <c r="AL56" i="9"/>
  <c r="AY56" i="9"/>
  <c r="AM56" i="9"/>
  <c r="AE56" i="9"/>
  <c r="BF56" i="9"/>
  <c r="BE56" i="9"/>
  <c r="BG56" i="9"/>
  <c r="AO56" i="9"/>
  <c r="Z56" i="9"/>
  <c r="AW56" i="9"/>
  <c r="O55" i="9"/>
  <c r="S55" i="9"/>
  <c r="X55" i="9"/>
  <c r="AB55" i="9"/>
  <c r="AH55" i="9"/>
  <c r="AD55" i="9"/>
  <c r="AT55" i="9"/>
  <c r="AQ55" i="9"/>
  <c r="AC55" i="9"/>
  <c r="AR55" i="9"/>
  <c r="AP55" i="9"/>
  <c r="AN55" i="9"/>
  <c r="AN57" i="9" s="1"/>
  <c r="BA55" i="9"/>
  <c r="BC55" i="9"/>
  <c r="BB55" i="9"/>
  <c r="V55" i="9"/>
  <c r="AU55" i="9"/>
  <c r="Q55" i="9"/>
  <c r="Q57" i="9" s="1"/>
  <c r="AX55" i="9"/>
  <c r="U55" i="9"/>
  <c r="AS55" i="9"/>
  <c r="W55" i="9"/>
  <c r="P55" i="9"/>
  <c r="Y55" i="9"/>
  <c r="AV55" i="9"/>
  <c r="AA55" i="9"/>
  <c r="BF55" i="9"/>
  <c r="AO55" i="9"/>
  <c r="AM55" i="9"/>
  <c r="BG55" i="9"/>
  <c r="BE55" i="9"/>
  <c r="AW55" i="9"/>
  <c r="Z55" i="9"/>
  <c r="AK55" i="9"/>
  <c r="AE55" i="9"/>
  <c r="AL55" i="9"/>
  <c r="AY55" i="9"/>
  <c r="E57" i="9"/>
  <c r="D5" i="12" s="1"/>
  <c r="E73" i="9"/>
  <c r="E75" i="9"/>
  <c r="E87" i="9"/>
  <c r="E71" i="9"/>
  <c r="E78" i="9"/>
  <c r="E72" i="9"/>
  <c r="E79" i="9"/>
  <c r="F73" i="9"/>
  <c r="F75" i="9"/>
  <c r="F87" i="9"/>
  <c r="F71" i="9"/>
  <c r="F78" i="9"/>
  <c r="F72" i="9"/>
  <c r="F79" i="9"/>
  <c r="E80" i="9"/>
  <c r="E76" i="9"/>
  <c r="F80" i="9"/>
  <c r="F76" i="9"/>
  <c r="BH56" i="9" l="1"/>
  <c r="BH55" i="9"/>
  <c r="D184" i="9"/>
  <c r="AJ91" i="9"/>
  <c r="AJ92" i="9" s="1"/>
  <c r="AP57" i="9"/>
  <c r="F92" i="9"/>
  <c r="E9" i="12" s="1"/>
  <c r="R91" i="9"/>
  <c r="R92" i="9" s="1"/>
  <c r="BD91" i="9"/>
  <c r="BD92" i="9" s="1"/>
  <c r="AI91" i="9"/>
  <c r="AI92" i="9" s="1"/>
  <c r="AZ91" i="9"/>
  <c r="AZ92" i="9" s="1"/>
  <c r="T91" i="9"/>
  <c r="T92" i="9" s="1"/>
  <c r="AG91" i="9"/>
  <c r="AG92" i="9" s="1"/>
  <c r="D91" i="9"/>
  <c r="D92" i="9" s="1"/>
  <c r="C9" i="12" s="1"/>
  <c r="C5" i="12"/>
  <c r="AX57" i="9"/>
  <c r="AT57" i="9"/>
  <c r="AV57" i="9"/>
  <c r="AY57" i="9"/>
  <c r="O57" i="9"/>
  <c r="AK57" i="9"/>
  <c r="P57" i="9"/>
  <c r="AS57" i="9"/>
  <c r="AU57" i="9"/>
  <c r="W57" i="9"/>
  <c r="AL57" i="9"/>
  <c r="AE57" i="9"/>
  <c r="Z57" i="9"/>
  <c r="AR57" i="9"/>
  <c r="AQ57" i="9"/>
  <c r="V57" i="9"/>
  <c r="Y57" i="9"/>
  <c r="AB57" i="9"/>
  <c r="BF57" i="9"/>
  <c r="AM57" i="9"/>
  <c r="X57" i="9"/>
  <c r="AC57" i="9"/>
  <c r="AO57" i="9"/>
  <c r="U57" i="9"/>
  <c r="BE57" i="9"/>
  <c r="BG57" i="9"/>
  <c r="AA57" i="9"/>
  <c r="BA57" i="9"/>
  <c r="AD57" i="9"/>
  <c r="AW57" i="9"/>
  <c r="AH57" i="9"/>
  <c r="BB57" i="9"/>
  <c r="BC57" i="9"/>
  <c r="S57" i="9"/>
  <c r="BA76" i="9"/>
  <c r="AU76" i="9"/>
  <c r="AD76" i="9"/>
  <c r="AR71" i="9"/>
  <c r="AH71" i="9"/>
  <c r="Q72" i="9"/>
  <c r="W72" i="9"/>
  <c r="BA72" i="9"/>
  <c r="AV72" i="9"/>
  <c r="AN72" i="9"/>
  <c r="AC72" i="9"/>
  <c r="W78" i="9"/>
  <c r="AV78" i="9"/>
  <c r="AR78" i="9"/>
  <c r="AN78" i="9"/>
  <c r="AS78" i="9"/>
  <c r="AS81" i="9" s="1"/>
  <c r="AB78" i="9"/>
  <c r="AB81" i="9" s="1"/>
  <c r="X78" i="9"/>
  <c r="X81" i="9" s="1"/>
  <c r="P78" i="9"/>
  <c r="U78" i="9"/>
  <c r="U81" i="9" s="1"/>
  <c r="AP78" i="9"/>
  <c r="Q78" i="9"/>
  <c r="AD78" i="9"/>
  <c r="BA78" i="9"/>
  <c r="AC78" i="9"/>
  <c r="AA78" i="9"/>
  <c r="AI78" i="9"/>
  <c r="BD78" i="9"/>
  <c r="AZ78" i="9"/>
  <c r="AJ78" i="9"/>
  <c r="T78" i="9"/>
  <c r="Q75" i="9"/>
  <c r="V75" i="9"/>
  <c r="BC75" i="9"/>
  <c r="BB75" i="9"/>
  <c r="AA75" i="9"/>
  <c r="AQ75" i="9"/>
  <c r="AV75" i="9"/>
  <c r="AX75" i="9"/>
  <c r="AN75" i="9"/>
  <c r="S75" i="9"/>
  <c r="AX95" i="9"/>
  <c r="AX97" i="9" s="1"/>
  <c r="AU95" i="9"/>
  <c r="AU97" i="9" s="1"/>
  <c r="AH95" i="9"/>
  <c r="AH97" i="9" s="1"/>
  <c r="U95" i="9"/>
  <c r="U97" i="9" s="1"/>
  <c r="AV95" i="9"/>
  <c r="AV97" i="9" s="1"/>
  <c r="V95" i="9"/>
  <c r="V97" i="9" s="1"/>
  <c r="X95" i="9"/>
  <c r="X97" i="9" s="1"/>
  <c r="AA95" i="9"/>
  <c r="AA97" i="9" s="1"/>
  <c r="W95" i="9"/>
  <c r="W97" i="9" s="1"/>
  <c r="Y95" i="9"/>
  <c r="Y97" i="9" s="1"/>
  <c r="BC95" i="9"/>
  <c r="BC97" i="9" s="1"/>
  <c r="AQ95" i="9"/>
  <c r="AQ97" i="9" s="1"/>
  <c r="AD95" i="9"/>
  <c r="AD97" i="9" s="1"/>
  <c r="S95" i="9"/>
  <c r="S97" i="9" s="1"/>
  <c r="AR95" i="9"/>
  <c r="AR97" i="9" s="1"/>
  <c r="AT95" i="9"/>
  <c r="AT97" i="9" s="1"/>
  <c r="Q95" i="9"/>
  <c r="Q97" i="9" s="1"/>
  <c r="BB95" i="9"/>
  <c r="BB97" i="9" s="1"/>
  <c r="P95" i="9"/>
  <c r="P97" i="9" s="1"/>
  <c r="AP95" i="9"/>
  <c r="AP97" i="9" s="1"/>
  <c r="AS95" i="9"/>
  <c r="AS97" i="9" s="1"/>
  <c r="AN95" i="9"/>
  <c r="AN97" i="9" s="1"/>
  <c r="BA95" i="9"/>
  <c r="BA97" i="9" s="1"/>
  <c r="AB95" i="9"/>
  <c r="AB97" i="9" s="1"/>
  <c r="AC95" i="9"/>
  <c r="AC97" i="9" s="1"/>
  <c r="AY95" i="9"/>
  <c r="AY97" i="9" s="1"/>
  <c r="AL95" i="9"/>
  <c r="AL97" i="9" s="1"/>
  <c r="AM95" i="9"/>
  <c r="AM97" i="9" s="1"/>
  <c r="AW95" i="9"/>
  <c r="AW97" i="9" s="1"/>
  <c r="Z95" i="9"/>
  <c r="Z97" i="9" s="1"/>
  <c r="AK95" i="9"/>
  <c r="AK97" i="9" s="1"/>
  <c r="AE95" i="9"/>
  <c r="AE97" i="9" s="1"/>
  <c r="BG95" i="9"/>
  <c r="BG97" i="9" s="1"/>
  <c r="BF95" i="9"/>
  <c r="BF97" i="9" s="1"/>
  <c r="BE95" i="9"/>
  <c r="BE97" i="9" s="1"/>
  <c r="AO95" i="9"/>
  <c r="AO97" i="9" s="1"/>
  <c r="AG75" i="9"/>
  <c r="AI75" i="9"/>
  <c r="O80" i="9"/>
  <c r="AH80" i="9"/>
  <c r="F84" i="9"/>
  <c r="R79" i="9"/>
  <c r="AF79" i="9"/>
  <c r="AG79" i="9"/>
  <c r="AP73" i="9"/>
  <c r="AD73" i="9"/>
  <c r="AQ73" i="9"/>
  <c r="Y79" i="9"/>
  <c r="Y81" i="9" s="1"/>
  <c r="AT79" i="9"/>
  <c r="AT81" i="9" s="1"/>
  <c r="BC79" i="9"/>
  <c r="V79" i="9"/>
  <c r="S79" i="9"/>
  <c r="BB79" i="9"/>
  <c r="AX79" i="9"/>
  <c r="AU79" i="9"/>
  <c r="O95" i="9"/>
  <c r="E85" i="9"/>
  <c r="E84" i="9"/>
  <c r="E86" i="9"/>
  <c r="F85" i="9"/>
  <c r="F86" i="9"/>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4" i="1"/>
  <c r="N54" i="1"/>
  <c r="Q54" i="1" s="1"/>
  <c r="O54" i="1"/>
  <c r="A4" i="1"/>
  <c r="A6" i="1" s="1"/>
  <c r="A7" i="1" s="1"/>
  <c r="A8" i="1" s="1"/>
  <c r="A9" i="1" s="1"/>
  <c r="A10" i="1" s="1"/>
  <c r="A11" i="1" s="1"/>
  <c r="A12" i="1" s="1"/>
  <c r="A13" i="1" s="1"/>
  <c r="A14" i="1" s="1"/>
  <c r="A15" i="1" s="1"/>
  <c r="A16" i="1" s="1"/>
  <c r="A17" i="1" s="1"/>
  <c r="A18" i="1" s="1"/>
  <c r="A19" i="1" s="1"/>
  <c r="A20" i="1" s="1"/>
  <c r="A21" i="1" s="1"/>
  <c r="A23" i="1" s="1"/>
  <c r="A24" i="1" s="1"/>
  <c r="A25" i="1" s="1"/>
  <c r="A26" i="1" s="1"/>
  <c r="A27" i="1" s="1"/>
  <c r="A28" i="1" s="1"/>
  <c r="A29" i="1" s="1"/>
  <c r="A31" i="1" s="1"/>
  <c r="A32" i="1" s="1"/>
  <c r="A33" i="1" s="1"/>
  <c r="A34" i="1" s="1"/>
  <c r="A36" i="1" s="1"/>
  <c r="A37" i="1" s="1"/>
  <c r="A38" i="1" s="1"/>
  <c r="A39" i="1" s="1"/>
  <c r="A40" i="1" s="1"/>
  <c r="A41" i="1" s="1"/>
  <c r="A42" i="1" s="1"/>
  <c r="A43" i="1" s="1"/>
  <c r="A44" i="1" s="1"/>
  <c r="A45" i="1" s="1"/>
  <c r="A46" i="1" s="1"/>
  <c r="A49" i="1" s="1"/>
  <c r="A50" i="1" s="1"/>
  <c r="A51" i="1" s="1"/>
  <c r="A52" i="1" s="1"/>
  <c r="A53" i="1" s="1"/>
  <c r="BH71" i="9" l="1"/>
  <c r="BH79" i="9"/>
  <c r="BH80" i="9"/>
  <c r="BH57" i="9"/>
  <c r="BH95" i="9"/>
  <c r="K184" i="9"/>
  <c r="K195" i="9" s="1"/>
  <c r="I184" i="9"/>
  <c r="I195" i="9" s="1"/>
  <c r="O97" i="9"/>
  <c r="BH97" i="9" s="1"/>
  <c r="O81" i="9"/>
  <c r="P81" i="9"/>
  <c r="BF91" i="9"/>
  <c r="BF92" i="9" s="1"/>
  <c r="BF105" i="9" s="1"/>
  <c r="BE91" i="9"/>
  <c r="BE92" i="9" s="1"/>
  <c r="BG91" i="9"/>
  <c r="BG92" i="9" s="1"/>
  <c r="BG105" i="9" s="1"/>
  <c r="G34" i="12" s="1"/>
  <c r="E91" i="9"/>
  <c r="AS91" i="9" s="1"/>
  <c r="AS92" i="9" s="1"/>
  <c r="AS105" i="9" s="1"/>
  <c r="AE91" i="9"/>
  <c r="AE92" i="9" s="1"/>
  <c r="AY91" i="9"/>
  <c r="AY92" i="9" s="1"/>
  <c r="AO91" i="9"/>
  <c r="AO92" i="9" s="1"/>
  <c r="AK91" i="9"/>
  <c r="AK92" i="9" s="1"/>
  <c r="AM91" i="9"/>
  <c r="AM92" i="9" s="1"/>
  <c r="AL91" i="9"/>
  <c r="AL92" i="9" s="1"/>
  <c r="Z91" i="9"/>
  <c r="Z92" i="9" s="1"/>
  <c r="Z105" i="9" s="1"/>
  <c r="AW91" i="9"/>
  <c r="AW92" i="9" s="1"/>
  <c r="AQ81" i="9"/>
  <c r="AP81" i="9"/>
  <c r="AI81" i="9"/>
  <c r="AI105" i="9" s="1"/>
  <c r="AR81" i="9"/>
  <c r="AA81" i="9"/>
  <c r="AG81" i="9"/>
  <c r="AG105" i="9" s="1"/>
  <c r="AC81" i="9"/>
  <c r="AN81" i="9"/>
  <c r="AV81" i="9"/>
  <c r="R81" i="9"/>
  <c r="R105" i="9" s="1"/>
  <c r="BC81" i="9"/>
  <c r="V81" i="9"/>
  <c r="BA81" i="9"/>
  <c r="W81" i="9"/>
  <c r="T81" i="9"/>
  <c r="T105" i="9" s="1"/>
  <c r="Q81" i="9"/>
  <c r="AJ81" i="9"/>
  <c r="AJ105" i="9" s="1"/>
  <c r="AH81" i="9"/>
  <c r="S81" i="9"/>
  <c r="AZ81" i="9"/>
  <c r="AZ105" i="9" s="1"/>
  <c r="AD81" i="9"/>
  <c r="BD81" i="9"/>
  <c r="BD105" i="9" s="1"/>
  <c r="BB81" i="9"/>
  <c r="AX81" i="9"/>
  <c r="AU81" i="9"/>
  <c r="AF81" i="9"/>
  <c r="AF105" i="9" s="1"/>
  <c r="R54" i="1"/>
  <c r="H5" i="4"/>
  <c r="H4" i="4" s="1"/>
  <c r="H29" i="4" s="1"/>
  <c r="I39" i="1"/>
  <c r="Q91" i="9" l="1"/>
  <c r="Q92" i="9" s="1"/>
  <c r="Q105" i="9" s="1"/>
  <c r="AN91" i="9"/>
  <c r="AN92" i="9" s="1"/>
  <c r="BB91" i="9"/>
  <c r="BB92" i="9" s="1"/>
  <c r="BB105" i="9" s="1"/>
  <c r="BB112" i="9" s="1"/>
  <c r="AD91" i="9"/>
  <c r="AD92" i="9" s="1"/>
  <c r="AD105" i="9" s="1"/>
  <c r="AD112" i="9" s="1"/>
  <c r="AQ91" i="9"/>
  <c r="AQ92" i="9" s="1"/>
  <c r="AQ105" i="9" s="1"/>
  <c r="AQ110" i="9" s="1"/>
  <c r="AX91" i="9"/>
  <c r="AX92" i="9" s="1"/>
  <c r="AX105" i="9" s="1"/>
  <c r="AX111" i="9" s="1"/>
  <c r="AP91" i="9"/>
  <c r="AP92" i="9" s="1"/>
  <c r="AP105" i="9" s="1"/>
  <c r="AV91" i="9"/>
  <c r="AV92" i="9" s="1"/>
  <c r="AV105" i="9" s="1"/>
  <c r="AV112" i="9" s="1"/>
  <c r="AT91" i="9"/>
  <c r="AT92" i="9" s="1"/>
  <c r="AT105" i="9" s="1"/>
  <c r="AT112" i="9" s="1"/>
  <c r="AC91" i="9"/>
  <c r="AC92" i="9" s="1"/>
  <c r="AC105" i="9" s="1"/>
  <c r="AC110" i="9" s="1"/>
  <c r="AH91" i="9"/>
  <c r="AH92" i="9" s="1"/>
  <c r="AH105" i="9" s="1"/>
  <c r="AR91" i="9"/>
  <c r="AR92" i="9" s="1"/>
  <c r="AR105" i="9" s="1"/>
  <c r="AR111" i="9" s="1"/>
  <c r="O91" i="9"/>
  <c r="X91" i="9"/>
  <c r="X92" i="9" s="1"/>
  <c r="X105" i="9" s="1"/>
  <c r="X112" i="9" s="1"/>
  <c r="S91" i="9"/>
  <c r="S92" i="9" s="1"/>
  <c r="S105" i="9" s="1"/>
  <c r="W91" i="9"/>
  <c r="W92" i="9" s="1"/>
  <c r="W105" i="9" s="1"/>
  <c r="W110" i="9" s="1"/>
  <c r="E92" i="9"/>
  <c r="D9" i="12" s="1"/>
  <c r="BC91" i="9"/>
  <c r="BC92" i="9" s="1"/>
  <c r="BC105" i="9" s="1"/>
  <c r="BC112" i="9" s="1"/>
  <c r="P91" i="9"/>
  <c r="P92" i="9" s="1"/>
  <c r="P105" i="9" s="1"/>
  <c r="P110" i="9" s="1"/>
  <c r="BA91" i="9"/>
  <c r="BA92" i="9" s="1"/>
  <c r="BA105" i="9" s="1"/>
  <c r="U91" i="9"/>
  <c r="U92" i="9" s="1"/>
  <c r="U105" i="9" s="1"/>
  <c r="U110" i="9" s="1"/>
  <c r="Y91" i="9"/>
  <c r="Y92" i="9" s="1"/>
  <c r="Y105" i="9" s="1"/>
  <c r="Y112" i="9" s="1"/>
  <c r="AB91" i="9"/>
  <c r="AB92" i="9" s="1"/>
  <c r="AB105" i="9" s="1"/>
  <c r="AB112" i="9" s="1"/>
  <c r="V91" i="9"/>
  <c r="V92" i="9" s="1"/>
  <c r="V105" i="9" s="1"/>
  <c r="AA91" i="9"/>
  <c r="AA92" i="9" s="1"/>
  <c r="AA105" i="9" s="1"/>
  <c r="AA111" i="9" s="1"/>
  <c r="AU91" i="9"/>
  <c r="AU92" i="9" s="1"/>
  <c r="AU105" i="9" s="1"/>
  <c r="AU110" i="9" s="1"/>
  <c r="R112" i="9"/>
  <c r="R111" i="9"/>
  <c r="R110" i="9"/>
  <c r="Z111" i="9"/>
  <c r="Z110" i="9"/>
  <c r="Z112" i="9"/>
  <c r="AS111" i="9"/>
  <c r="AS110" i="9"/>
  <c r="AS112" i="9"/>
  <c r="BG111" i="9"/>
  <c r="BG110" i="9"/>
  <c r="BG112" i="9"/>
  <c r="AJ112" i="9"/>
  <c r="AJ111" i="9"/>
  <c r="AJ110" i="9"/>
  <c r="AG110" i="9"/>
  <c r="AG112" i="9"/>
  <c r="AG111" i="9"/>
  <c r="BF110" i="9"/>
  <c r="BF111" i="9"/>
  <c r="BF112" i="9"/>
  <c r="AZ110" i="9"/>
  <c r="AZ112" i="9"/>
  <c r="AZ111" i="9"/>
  <c r="T111" i="9"/>
  <c r="T110" i="9"/>
  <c r="T112" i="9"/>
  <c r="AI110" i="9"/>
  <c r="AI112" i="9"/>
  <c r="AI111" i="9"/>
  <c r="AN105" i="9"/>
  <c r="BD111" i="9"/>
  <c r="BD110" i="9"/>
  <c r="BD112" i="9"/>
  <c r="AF111" i="9"/>
  <c r="AF112" i="9"/>
  <c r="AF110" i="9"/>
  <c r="F30" i="4"/>
  <c r="F42" i="4" s="1"/>
  <c r="F43" i="4" s="1"/>
  <c r="E30" i="4"/>
  <c r="E42" i="4" s="1"/>
  <c r="E43" i="4" s="1"/>
  <c r="H7" i="4"/>
  <c r="I32" i="4"/>
  <c r="I30" i="4"/>
  <c r="I42" i="4" s="1"/>
  <c r="I43" i="4" s="1"/>
  <c r="C30" i="4"/>
  <c r="C42" i="4" s="1"/>
  <c r="C43" i="4" s="1"/>
  <c r="H33" i="4"/>
  <c r="B42" i="4"/>
  <c r="B43" i="4" s="1"/>
  <c r="H6" i="4"/>
  <c r="H16" i="4" s="1"/>
  <c r="F8" i="9" s="1"/>
  <c r="I33" i="4"/>
  <c r="H32" i="4"/>
  <c r="H30" i="4"/>
  <c r="H42" i="4" s="1"/>
  <c r="H43" i="4" s="1"/>
  <c r="H37" i="4"/>
  <c r="F10" i="9" s="1"/>
  <c r="BH91" i="9" l="1"/>
  <c r="O92" i="9"/>
  <c r="BH92" i="9" s="1"/>
  <c r="C190" i="9"/>
  <c r="C204" i="9" s="1"/>
  <c r="F204" i="9" s="1"/>
  <c r="AT110" i="9"/>
  <c r="U112" i="9"/>
  <c r="U111" i="9"/>
  <c r="AT111" i="9"/>
  <c r="X110" i="9"/>
  <c r="X111" i="9"/>
  <c r="P112" i="9"/>
  <c r="AB110" i="9"/>
  <c r="P111" i="9"/>
  <c r="W111" i="9"/>
  <c r="AC111" i="9"/>
  <c r="Y110" i="9"/>
  <c r="Y111" i="9"/>
  <c r="AB111" i="9"/>
  <c r="AV111" i="9"/>
  <c r="AV110" i="9"/>
  <c r="AC112" i="9"/>
  <c r="AD110" i="9"/>
  <c r="AD111" i="9"/>
  <c r="W112" i="9"/>
  <c r="AA112" i="9"/>
  <c r="AU112" i="9"/>
  <c r="AU111" i="9"/>
  <c r="AA110" i="9"/>
  <c r="AX112" i="9"/>
  <c r="AX110" i="9"/>
  <c r="BC111" i="9"/>
  <c r="BC110" i="9"/>
  <c r="BG114" i="9"/>
  <c r="G36" i="12" s="1"/>
  <c r="AS114" i="9"/>
  <c r="Z114" i="9"/>
  <c r="R114" i="9"/>
  <c r="AI114" i="9"/>
  <c r="BF114" i="9"/>
  <c r="T114" i="9"/>
  <c r="AG114" i="9"/>
  <c r="BD114" i="9"/>
  <c r="AF114" i="9"/>
  <c r="AZ114" i="9"/>
  <c r="AJ114" i="9"/>
  <c r="AR112" i="9"/>
  <c r="AR110" i="9"/>
  <c r="BB111" i="9"/>
  <c r="AQ111" i="9"/>
  <c r="BB110" i="9"/>
  <c r="AQ112" i="9"/>
  <c r="Q110" i="9"/>
  <c r="Q112" i="9"/>
  <c r="Q111" i="9"/>
  <c r="V110" i="9"/>
  <c r="V112" i="9"/>
  <c r="V111" i="9"/>
  <c r="S112" i="9"/>
  <c r="S110" i="9"/>
  <c r="S111" i="9"/>
  <c r="AP112" i="9"/>
  <c r="AP111" i="9"/>
  <c r="AP110" i="9"/>
  <c r="BA110" i="9"/>
  <c r="BA112" i="9"/>
  <c r="BA111" i="9"/>
  <c r="AH110" i="9"/>
  <c r="AH112" i="9"/>
  <c r="AH111" i="9"/>
  <c r="AN110" i="9"/>
  <c r="AN112" i="9"/>
  <c r="AN111" i="9"/>
  <c r="H31" i="4"/>
  <c r="D190" i="9" l="1"/>
  <c r="AT114" i="9"/>
  <c r="U114" i="9"/>
  <c r="O105" i="9"/>
  <c r="AB114" i="9"/>
  <c r="X114" i="9"/>
  <c r="P114" i="9"/>
  <c r="AV114" i="9"/>
  <c r="Y114" i="9"/>
  <c r="AC114" i="9"/>
  <c r="W114" i="9"/>
  <c r="AD114" i="9"/>
  <c r="G35" i="12"/>
  <c r="AA114" i="9"/>
  <c r="AX114" i="9"/>
  <c r="AU114" i="9"/>
  <c r="BB114" i="9"/>
  <c r="BC114" i="9"/>
  <c r="AP114" i="9"/>
  <c r="AQ114" i="9"/>
  <c r="AN114" i="9"/>
  <c r="AH114" i="9"/>
  <c r="Q114" i="9"/>
  <c r="V114" i="9"/>
  <c r="BA114" i="9"/>
  <c r="S114" i="9"/>
  <c r="AR114" i="9"/>
  <c r="D73" i="9"/>
  <c r="D75" i="9"/>
  <c r="D71" i="9"/>
  <c r="D87" i="9"/>
  <c r="D78" i="9"/>
  <c r="D72" i="9"/>
  <c r="D79" i="9"/>
  <c r="D80" i="9"/>
  <c r="D76" i="9"/>
  <c r="AE76" i="9" s="1"/>
  <c r="BH76" i="9" s="1"/>
  <c r="AU120" i="9" l="1"/>
  <c r="AS128" i="9"/>
  <c r="AM128" i="9"/>
  <c r="AN128" i="9"/>
  <c r="AL120" i="9"/>
  <c r="X124" i="9"/>
  <c r="AE126" i="9"/>
  <c r="AM124" i="9"/>
  <c r="BB124" i="9"/>
  <c r="BG126" i="9"/>
  <c r="BE128" i="9"/>
  <c r="R121" i="9"/>
  <c r="AN120" i="9"/>
  <c r="AL122" i="9"/>
  <c r="W126" i="9"/>
  <c r="AY128" i="9"/>
  <c r="AM120" i="9"/>
  <c r="BE121" i="9"/>
  <c r="BB126" i="9"/>
  <c r="AJ124" i="9"/>
  <c r="AA126" i="9"/>
  <c r="R128" i="9"/>
  <c r="Z126" i="9"/>
  <c r="AR121" i="9"/>
  <c r="R120" i="9"/>
  <c r="AX121" i="9"/>
  <c r="W128" i="9"/>
  <c r="AV122" i="9"/>
  <c r="U124" i="9"/>
  <c r="T121" i="9"/>
  <c r="AQ126" i="9"/>
  <c r="AX120" i="9"/>
  <c r="T128" i="9"/>
  <c r="AN122" i="9"/>
  <c r="BA126" i="9"/>
  <c r="BC128" i="9"/>
  <c r="AM121" i="9"/>
  <c r="Z121" i="9"/>
  <c r="AG124" i="9"/>
  <c r="T126" i="9"/>
  <c r="AP120" i="9"/>
  <c r="V126" i="9"/>
  <c r="AE128" i="9"/>
  <c r="AY126" i="9"/>
  <c r="AY122" i="9"/>
  <c r="O126" i="9"/>
  <c r="AJ121" i="9"/>
  <c r="AL126" i="9"/>
  <c r="AX122" i="9"/>
  <c r="AQ121" i="9"/>
  <c r="AA122" i="9"/>
  <c r="AC128" i="9"/>
  <c r="AW124" i="9"/>
  <c r="Q128" i="9"/>
  <c r="AO121" i="9"/>
  <c r="AT128" i="9"/>
  <c r="AK128" i="9"/>
  <c r="AE120" i="9"/>
  <c r="BG121" i="9"/>
  <c r="V120" i="9"/>
  <c r="BF121" i="9"/>
  <c r="AG122" i="9"/>
  <c r="U120" i="9"/>
  <c r="Q120" i="9"/>
  <c r="Q126" i="9"/>
  <c r="Y122" i="9"/>
  <c r="S126" i="9"/>
  <c r="AV124" i="9"/>
  <c r="O120" i="9"/>
  <c r="AD120" i="9"/>
  <c r="P121" i="9"/>
  <c r="AQ120" i="9"/>
  <c r="AY120" i="9"/>
  <c r="BE120" i="9"/>
  <c r="AO126" i="9"/>
  <c r="O111" i="9"/>
  <c r="V122" i="9"/>
  <c r="Q122" i="9"/>
  <c r="BC124" i="9"/>
  <c r="V124" i="9"/>
  <c r="AS120" i="9"/>
  <c r="AJ120" i="9"/>
  <c r="AU121" i="9"/>
  <c r="U121" i="9"/>
  <c r="AD124" i="9"/>
  <c r="AW121" i="9"/>
  <c r="BD128" i="9"/>
  <c r="T122" i="9"/>
  <c r="BG128" i="9"/>
  <c r="AT120" i="9"/>
  <c r="AK126" i="9"/>
  <c r="X120" i="9"/>
  <c r="P126" i="9"/>
  <c r="AI124" i="9"/>
  <c r="AH122" i="9"/>
  <c r="BD121" i="9"/>
  <c r="AH128" i="9"/>
  <c r="X128" i="9"/>
  <c r="T124" i="9"/>
  <c r="AH126" i="9"/>
  <c r="P120" i="9"/>
  <c r="AN124" i="9"/>
  <c r="AC121" i="9"/>
  <c r="AU122" i="9"/>
  <c r="P122" i="9"/>
  <c r="BG120" i="9"/>
  <c r="Z124" i="9"/>
  <c r="T120" i="9"/>
  <c r="BA122" i="9"/>
  <c r="BC121" i="9"/>
  <c r="BD120" i="9"/>
  <c r="Y126" i="9"/>
  <c r="P128" i="9"/>
  <c r="BF120" i="9"/>
  <c r="BB120" i="9"/>
  <c r="AN121" i="9"/>
  <c r="AI120" i="9"/>
  <c r="AD121" i="9"/>
  <c r="AZ120" i="9"/>
  <c r="BA121" i="9"/>
  <c r="S120" i="9"/>
  <c r="V128" i="9"/>
  <c r="BC122" i="9"/>
  <c r="AC124" i="9"/>
  <c r="AW128" i="9"/>
  <c r="AX126" i="9"/>
  <c r="AB128" i="9"/>
  <c r="S121" i="9"/>
  <c r="AF120" i="9"/>
  <c r="AO128" i="9"/>
  <c r="AV128" i="9"/>
  <c r="P124" i="9"/>
  <c r="W121" i="9"/>
  <c r="AF124" i="9"/>
  <c r="AH124" i="9"/>
  <c r="AI126" i="9"/>
  <c r="AT124" i="9"/>
  <c r="AN126" i="9"/>
  <c r="BG124" i="9"/>
  <c r="AT122" i="9"/>
  <c r="X122" i="9"/>
  <c r="AO124" i="9"/>
  <c r="AC122" i="9"/>
  <c r="AE122" i="9"/>
  <c r="AL121" i="9"/>
  <c r="O112" i="9"/>
  <c r="AP124" i="9"/>
  <c r="AO120" i="9"/>
  <c r="AH121" i="9"/>
  <c r="AZ124" i="9"/>
  <c r="S122" i="9"/>
  <c r="Y128" i="9"/>
  <c r="AE121" i="9"/>
  <c r="AD128" i="9"/>
  <c r="AK122" i="9"/>
  <c r="AK121" i="9"/>
  <c r="AL124" i="9"/>
  <c r="AL128" i="9"/>
  <c r="AQ128" i="9"/>
  <c r="BA128" i="9"/>
  <c r="AS124" i="9"/>
  <c r="AF126" i="9"/>
  <c r="AR124" i="9"/>
  <c r="AP122" i="9"/>
  <c r="AT121" i="9"/>
  <c r="AR122" i="9"/>
  <c r="AY124" i="9"/>
  <c r="AK120" i="9"/>
  <c r="W124" i="9"/>
  <c r="AS122" i="9"/>
  <c r="Y121" i="9"/>
  <c r="AB126" i="9"/>
  <c r="AP121" i="9"/>
  <c r="BB121" i="9"/>
  <c r="AI122" i="9"/>
  <c r="BC126" i="9"/>
  <c r="BF128" i="9"/>
  <c r="AZ128" i="9"/>
  <c r="Y120" i="9"/>
  <c r="BC120" i="9"/>
  <c r="BA120" i="9"/>
  <c r="AI121" i="9"/>
  <c r="AI128" i="9"/>
  <c r="AC120" i="9"/>
  <c r="AC126" i="9"/>
  <c r="AB120" i="9"/>
  <c r="BF122" i="9"/>
  <c r="AJ122" i="9"/>
  <c r="BA124" i="9"/>
  <c r="AO122" i="9"/>
  <c r="BB122" i="9"/>
  <c r="S124" i="9"/>
  <c r="BD122" i="9"/>
  <c r="AX128" i="9"/>
  <c r="AF128" i="9"/>
  <c r="BE126" i="9"/>
  <c r="AG126" i="9"/>
  <c r="BG122" i="9"/>
  <c r="AG128" i="9"/>
  <c r="BD126" i="9"/>
  <c r="Q124" i="9"/>
  <c r="AR128" i="9"/>
  <c r="Z122" i="9"/>
  <c r="AG121" i="9"/>
  <c r="X126" i="9"/>
  <c r="AV121" i="9"/>
  <c r="O121" i="9"/>
  <c r="BF126" i="9"/>
  <c r="R122" i="9"/>
  <c r="AW126" i="9"/>
  <c r="AH120" i="9"/>
  <c r="AB124" i="9"/>
  <c r="AB121" i="9"/>
  <c r="AW120" i="9"/>
  <c r="AA128" i="9"/>
  <c r="AM122" i="9"/>
  <c r="AV126" i="9"/>
  <c r="Y124" i="9"/>
  <c r="W122" i="9"/>
  <c r="U126" i="9"/>
  <c r="AQ124" i="9"/>
  <c r="AY121" i="9"/>
  <c r="AA124" i="9"/>
  <c r="AQ122" i="9"/>
  <c r="AG120" i="9"/>
  <c r="W120" i="9"/>
  <c r="AB122" i="9"/>
  <c r="AF122" i="9"/>
  <c r="AP128" i="9"/>
  <c r="R126" i="9"/>
  <c r="AJ128" i="9"/>
  <c r="AJ126" i="9"/>
  <c r="AZ126" i="9"/>
  <c r="X121" i="9"/>
  <c r="U122" i="9"/>
  <c r="O128" i="9"/>
  <c r="U128" i="9"/>
  <c r="AK124" i="9"/>
  <c r="AX124" i="9"/>
  <c r="AE124" i="9"/>
  <c r="O122" i="9"/>
  <c r="AS126" i="9"/>
  <c r="BF124" i="9"/>
  <c r="AU126" i="9"/>
  <c r="BB128" i="9"/>
  <c r="BD124" i="9"/>
  <c r="AM126" i="9"/>
  <c r="AT126" i="9"/>
  <c r="O124" i="9"/>
  <c r="V121" i="9"/>
  <c r="Z120" i="9"/>
  <c r="AF121" i="9"/>
  <c r="AW122" i="9"/>
  <c r="AZ122" i="9"/>
  <c r="AD126" i="9"/>
  <c r="BE122" i="9"/>
  <c r="AD122" i="9"/>
  <c r="O110" i="9"/>
  <c r="S128" i="9"/>
  <c r="Z128" i="9"/>
  <c r="AV120" i="9"/>
  <c r="AU128" i="9"/>
  <c r="Q121" i="9"/>
  <c r="AR120" i="9"/>
  <c r="AU124" i="9"/>
  <c r="AA120" i="9"/>
  <c r="AS121" i="9"/>
  <c r="AP126" i="9"/>
  <c r="BE124" i="9"/>
  <c r="AR126" i="9"/>
  <c r="AZ121" i="9"/>
  <c r="R124" i="9"/>
  <c r="AA121" i="9"/>
  <c r="AK72" i="9"/>
  <c r="BH72" i="9" s="1"/>
  <c r="D86" i="9"/>
  <c r="BE78" i="9"/>
  <c r="AE78" i="9"/>
  <c r="AL78" i="9"/>
  <c r="AO78" i="9"/>
  <c r="AW78" i="9"/>
  <c r="AK78" i="9"/>
  <c r="AM78" i="9"/>
  <c r="AY78" i="9"/>
  <c r="AO73" i="9"/>
  <c r="AE73" i="9"/>
  <c r="AK75" i="9"/>
  <c r="AO75" i="9"/>
  <c r="D84" i="9"/>
  <c r="D85" i="9"/>
  <c r="BH73" i="9" l="1"/>
  <c r="BH75" i="9"/>
  <c r="BH78" i="9"/>
  <c r="O114" i="9"/>
  <c r="C191" i="9"/>
  <c r="C205" i="9" s="1"/>
  <c r="F205" i="9" s="1"/>
  <c r="F209" i="9" s="1"/>
  <c r="B61" i="12" s="1"/>
  <c r="AK81" i="9"/>
  <c r="AK105" i="9" s="1"/>
  <c r="AE81" i="9"/>
  <c r="AM81" i="9"/>
  <c r="AM105" i="9" s="1"/>
  <c r="AL81" i="9"/>
  <c r="AL105" i="9" s="1"/>
  <c r="AO81" i="9"/>
  <c r="AO105" i="9" s="1"/>
  <c r="AW81" i="9"/>
  <c r="AW105" i="9" s="1"/>
  <c r="BE81" i="9"/>
  <c r="BE105" i="9" s="1"/>
  <c r="H34" i="12" s="1"/>
  <c r="AY81" i="9"/>
  <c r="AY105" i="9" s="1"/>
  <c r="BH81" i="9" l="1"/>
  <c r="D191" i="9"/>
  <c r="D195" i="9" s="1"/>
  <c r="C195" i="9"/>
  <c r="C8" i="12"/>
  <c r="E8" i="12"/>
  <c r="AE105" i="9"/>
  <c r="BH105" i="9" s="1"/>
  <c r="I84" i="9"/>
  <c r="D81" i="9" s="1"/>
  <c r="AW112" i="9"/>
  <c r="AW111" i="9"/>
  <c r="AW110" i="9"/>
  <c r="AO112" i="9"/>
  <c r="AO111" i="9"/>
  <c r="AO110" i="9"/>
  <c r="BE110" i="9"/>
  <c r="BE112" i="9"/>
  <c r="BE111" i="9"/>
  <c r="AL112" i="9"/>
  <c r="AL111" i="9"/>
  <c r="AL110" i="9"/>
  <c r="AK111" i="9"/>
  <c r="AK110" i="9"/>
  <c r="AK112" i="9"/>
  <c r="AY111" i="9"/>
  <c r="AY110" i="9"/>
  <c r="AY112" i="9"/>
  <c r="AM111" i="9"/>
  <c r="AM112" i="9"/>
  <c r="AM110" i="9"/>
  <c r="G107" i="9" l="1"/>
  <c r="C34" i="12" s="1"/>
  <c r="D34" i="12" s="1"/>
  <c r="I34" i="12"/>
  <c r="K34" i="12" s="1"/>
  <c r="L34" i="12" s="1"/>
  <c r="E81" i="9"/>
  <c r="D105" i="9"/>
  <c r="C12" i="12" s="1"/>
  <c r="AE111" i="9"/>
  <c r="AE112" i="9"/>
  <c r="AE110" i="9"/>
  <c r="AL114" i="9"/>
  <c r="AO114" i="9"/>
  <c r="AW114" i="9"/>
  <c r="AK114" i="9"/>
  <c r="AM114" i="9"/>
  <c r="BE114" i="9"/>
  <c r="H36" i="12" s="1"/>
  <c r="AY114" i="9"/>
  <c r="H35" i="12" l="1"/>
  <c r="G115" i="9"/>
  <c r="AE114" i="9"/>
  <c r="D111" i="9"/>
  <c r="C14" i="12" s="1"/>
  <c r="D110" i="9"/>
  <c r="C13" i="12" s="1"/>
  <c r="D112" i="9"/>
  <c r="C15" i="12" s="1"/>
  <c r="F81" i="9"/>
  <c r="F105" i="9" s="1"/>
  <c r="E12" i="12" s="1"/>
  <c r="E105" i="9"/>
  <c r="D12" i="12" s="1"/>
  <c r="C35" i="12" l="1"/>
  <c r="D35" i="12" s="1"/>
  <c r="H116" i="9"/>
  <c r="G116" i="9"/>
  <c r="C19" i="12" s="1"/>
  <c r="D19" i="12" s="1"/>
  <c r="I36" i="12"/>
  <c r="E112" i="9"/>
  <c r="D15" i="12" s="1"/>
  <c r="E111" i="9"/>
  <c r="D14" i="12" s="1"/>
  <c r="E110" i="9"/>
  <c r="D13" i="12" s="1"/>
  <c r="D114" i="9"/>
  <c r="C16" i="12" s="1"/>
  <c r="F110" i="9"/>
  <c r="E13" i="12" s="1"/>
  <c r="F112" i="9"/>
  <c r="E15" i="12" s="1"/>
  <c r="F111" i="9"/>
  <c r="E14" i="12" s="1"/>
  <c r="J103" i="9"/>
  <c r="J81" i="9"/>
  <c r="J64" i="9"/>
  <c r="J92" i="9"/>
  <c r="J61" i="9"/>
  <c r="J99" i="9"/>
  <c r="J57" i="9"/>
  <c r="J97" i="9"/>
  <c r="G122" i="9" l="1"/>
  <c r="C22" i="12" s="1"/>
  <c r="D22" i="12" s="1"/>
  <c r="G120" i="9"/>
  <c r="C20" i="12" s="1"/>
  <c r="D20" i="12" s="1"/>
  <c r="G121" i="9"/>
  <c r="C21" i="12" s="1"/>
  <c r="D21" i="12" s="1"/>
  <c r="I35" i="12"/>
  <c r="G123" i="9"/>
  <c r="C36" i="12"/>
  <c r="D36" i="12" s="1"/>
  <c r="E114" i="9"/>
  <c r="D16" i="12" s="1"/>
  <c r="F114" i="9"/>
  <c r="E16" i="12" s="1"/>
  <c r="G129" i="9" l="1"/>
  <c r="C29" i="12" s="1"/>
  <c r="D29" i="12" s="1"/>
  <c r="C23" i="12"/>
  <c r="D23" i="12" s="1"/>
  <c r="C37" i="12" l="1"/>
  <c r="D37" i="12" s="1"/>
  <c r="G131" i="9"/>
  <c r="C38" i="12" s="1"/>
  <c r="D38" i="12" s="1"/>
  <c r="C129" i="9"/>
  <c r="B37" i="12" s="1"/>
  <c r="G37" i="12" s="1"/>
  <c r="G133" i="9" l="1"/>
  <c r="G134" i="9" s="1"/>
  <c r="G136" i="9" s="1"/>
  <c r="I37" i="12"/>
  <c r="I38" i="12" s="1"/>
  <c r="H37" i="12"/>
  <c r="H38" i="12" s="1"/>
  <c r="J37" i="12"/>
  <c r="J38" i="12" s="1"/>
  <c r="J39" i="12" s="1"/>
  <c r="J40" i="12" s="1"/>
  <c r="G38" i="12"/>
  <c r="G39" i="12" s="1"/>
  <c r="H174" i="9"/>
  <c r="K36" i="12"/>
  <c r="L36" i="12" s="1"/>
  <c r="J35" i="12"/>
  <c r="K35" i="12" s="1"/>
  <c r="L35" i="12" s="1"/>
  <c r="H39" i="12" l="1"/>
  <c r="H40" i="12" s="1"/>
  <c r="I39" i="12"/>
  <c r="K39" i="12" s="1"/>
  <c r="C39" i="12"/>
  <c r="D39" i="12" s="1"/>
  <c r="K37" i="12"/>
  <c r="L37" i="12" s="1"/>
  <c r="C41" i="12"/>
  <c r="D41" i="12" s="1"/>
  <c r="C40" i="12"/>
  <c r="D40" i="12" s="1"/>
  <c r="K38" i="12"/>
  <c r="L38" i="12" s="1"/>
  <c r="I40" i="12" l="1"/>
  <c r="H41" i="12"/>
  <c r="H42" i="12" s="1"/>
  <c r="J41" i="12"/>
  <c r="J42" i="12" s="1"/>
  <c r="I41" i="12"/>
  <c r="I42" i="12" s="1"/>
  <c r="L39" i="12"/>
  <c r="G40" i="12"/>
  <c r="G137" i="9"/>
  <c r="C42" i="12" s="1"/>
  <c r="D42" i="12" s="1"/>
  <c r="G41" i="12" l="1"/>
  <c r="K41" i="12" s="1"/>
  <c r="L41" i="12" s="1"/>
  <c r="K40" i="12"/>
  <c r="L40" i="12" s="1"/>
  <c r="G42" i="12" l="1"/>
  <c r="K42" i="12" l="1"/>
  <c r="L4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tc={E71A8537-C4BE-4C0D-9A74-9F0DBFACCCF3}</author>
    <author>tc={2D24B9D3-2CC5-46D9-83F6-A781D7A3298C}</author>
    <author>tc={BDF43B26-C6F9-4E12-83C5-BCD186AF669E}</author>
  </authors>
  <commentList>
    <comment ref="BE146" authorId="0" shapeId="0" xr:uid="{E71A8537-C4BE-4C0D-9A74-9F0DBFACCCF3}">
      <text>
        <t>[Threaded comment]
Your version of Excel allows you to read this threaded comment; however, any edits to it will get removed if the file is opened in a newer version of Excel. Learn more: https://go.microsoft.com/fwlink/?linkid=870924
Comment:
    updated per MIchele's email March 7, 2022</t>
      </text>
    </comment>
    <comment ref="BF146" authorId="1" shapeId="0" xr:uid="{2D24B9D3-2CC5-46D9-83F6-A781D7A3298C}">
      <text>
        <t>[Threaded comment]
Your version of Excel allows you to read this threaded comment; however, any edits to it will get removed if the file is opened in a newer version of Excel. Learn more: https://go.microsoft.com/fwlink/?linkid=870924
Comment:
    updated per MIchele's email March 7, 2022</t>
      </text>
    </comment>
    <comment ref="BG146" authorId="2" shapeId="0" xr:uid="{BDF43B26-C6F9-4E12-83C5-BCD186AF669E}">
      <text>
        <t>[Threaded comment]
Your version of Excel allows you to read this threaded comment; however, any edits to it will get removed if the file is opened in a newer version of Excel. Learn more: https://go.microsoft.com/fwlink/?linkid=870924
Comment:
    updated per MIchele's email March 7, 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tc={DB317178-097A-45CF-A5F6-9C0AC6B8EDFD}</author>
    <author>tc={91BDA803-5472-4A04-8700-278ED76F7A19}</author>
    <author>tc={C830B1DD-6036-4CD7-8047-E277BB307B16}</author>
    <author>tc={C10BD352-F601-42E6-B94A-50912875798C}</author>
    <author>tc={F0BADB69-5F89-46BE-9C97-3B428548A54F}</author>
    <author>tc={A08297EA-B880-463B-B9E8-6ED3498CDE74}</author>
  </authors>
  <commentList>
    <comment ref="U3" authorId="0" shapeId="0" xr:uid="{DB317178-097A-45CF-A5F6-9C0AC6B8EDFD}">
      <text>
        <t>[Threaded comment]
Your version of Excel allows you to read this threaded comment; however, any edits to it will get removed if the file is opened in a newer version of Excel. Learn more: https://go.microsoft.com/fwlink/?linkid=870924
Comment:
    Located with urban area or semi-rural. close to consumers etc.</t>
      </text>
    </comment>
    <comment ref="V3" authorId="1" shapeId="0" xr:uid="{91BDA803-5472-4A04-8700-278ED76F7A19}">
      <text>
        <t>[Threaded comment]
Your version of Excel allows you to read this threaded comment; however, any edits to it will get removed if the file is opened in a newer version of Excel. Learn more: https://go.microsoft.com/fwlink/?linkid=870924
Comment:
    Assessment of accessway and space for turning larger vehicles.</t>
      </text>
    </comment>
    <comment ref="W3" authorId="2" shapeId="0" xr:uid="{C830B1DD-6036-4CD7-8047-E277BB307B16}">
      <text>
        <t>[Threaded comment]
Your version of Excel allows you to read this threaded comment; however, any edits to it will get removed if the file is opened in a newer version of Excel. Learn more: https://go.microsoft.com/fwlink/?linkid=870924
Comment:
    Is there space for building expansion or will a new detached building be required</t>
      </text>
    </comment>
    <comment ref="X3" authorId="3" shapeId="0" xr:uid="{C10BD352-F601-42E6-B94A-50912875798C}">
      <text>
        <t>[Threaded comment]
Your version of Excel allows you to read this threaded comment; however, any edits to it will get removed if the file is opened in a newer version of Excel. Learn more: https://go.microsoft.com/fwlink/?linkid=870924
Comment:
    Is there space for building expansion or will a new detached building be required</t>
      </text>
    </comment>
    <comment ref="Y3" authorId="4" shapeId="0" xr:uid="{F0BADB69-5F89-46BE-9C97-3B428548A54F}">
      <text>
        <t>[Threaded comment]
Your version of Excel allows you to read this threaded comment; however, any edits to it will get removed if the file is opened in a newer version of Excel. Learn more: https://go.microsoft.com/fwlink/?linkid=870924
Comment:
    Is the current site boundary suitable for additional 4x4 area anywhere</t>
      </text>
    </comment>
    <comment ref="AG25" authorId="5" shapeId="0" xr:uid="{A08297EA-B880-463B-B9E8-6ED3498CDE74}">
      <text>
        <t>[Threaded comment]
Your version of Excel allows you to read this threaded comment; however, any edits to it will get removed if the file is opened in a newer version of Excel. Learn more: https://go.microsoft.com/fwlink/?linkid=870924
Comment:
    have a look at the water supply overview schematic. Looks like it's between Thorrington and Palatine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tc={92D6162B-1FB9-4168-8780-947C4AB189A7}</author>
    <author>tc={8AD70282-C0FB-4335-9D52-2BCD8E5B8D8A}</author>
    <author>tc={62FFAD19-27CE-4FDF-9677-E8C18A30CED1}</author>
    <author>tc={632288FD-FE66-4384-8827-875CB1BCDB98}</author>
    <author>tc={DD560268-A1C6-4E5D-9697-3EC0D921DD22}</author>
  </authors>
  <commentList>
    <comment ref="T3" authorId="0" shapeId="0" xr:uid="{92D6162B-1FB9-4168-8780-947C4AB189A7}">
      <text>
        <t>[Threaded comment]
Your version of Excel allows you to read this threaded comment; however, any edits to it will get removed if the file is opened in a newer version of Excel. Learn more: https://go.microsoft.com/fwlink/?linkid=870924
Comment:
    Located with urban area or semi-rural. close to consumers etc.</t>
      </text>
    </comment>
    <comment ref="U3" authorId="1" shapeId="0" xr:uid="{8AD70282-C0FB-4335-9D52-2BCD8E5B8D8A}">
      <text>
        <t>[Threaded comment]
Your version of Excel allows you to read this threaded comment; however, any edits to it will get removed if the file is opened in a newer version of Excel. Learn more: https://go.microsoft.com/fwlink/?linkid=870924
Comment:
    Assessment of accessway and space for turning larger vehicles.</t>
      </text>
    </comment>
    <comment ref="V3" authorId="2" shapeId="0" xr:uid="{62FFAD19-27CE-4FDF-9677-E8C18A30CED1}">
      <text>
        <t>[Threaded comment]
Your version of Excel allows you to read this threaded comment; however, any edits to it will get removed if the file is opened in a newer version of Excel. Learn more: https://go.microsoft.com/fwlink/?linkid=870924
Comment:
    Is the current site boundary suitable for additional 4x4 area anywhere</t>
      </text>
    </comment>
    <comment ref="W3" authorId="3" shapeId="0" xr:uid="{632288FD-FE66-4384-8827-875CB1BCDB98}">
      <text>
        <t>[Threaded comment]
Your version of Excel allows you to read this threaded comment; however, any edits to it will get removed if the file is opened in a newer version of Excel. Learn more: https://go.microsoft.com/fwlink/?linkid=870924
Comment:
    Is there space for building expansion or will a new detached building be required</t>
      </text>
    </comment>
    <comment ref="AF27" authorId="4" shapeId="0" xr:uid="{DD560268-A1C6-4E5D-9697-3EC0D921DD22}">
      <text>
        <t>[Threaded comment]
Your version of Excel allows you to read this threaded comment; however, any edits to it will get removed if the file is opened in a newer version of Excel. Learn more: https://go.microsoft.com/fwlink/?linkid=870924
Comment:
    have a look at the water supply overview schematic. Looks like it's between Thorrington and Palatine</t>
      </text>
    </comment>
  </commentList>
</comments>
</file>

<file path=xl/sharedStrings.xml><?xml version="1.0" encoding="utf-8"?>
<sst xmlns="http://schemas.openxmlformats.org/spreadsheetml/2006/main" count="2815" uniqueCount="950">
  <si>
    <t>Title:</t>
  </si>
  <si>
    <t>Fluoride Implementation Estimate - Preliminary Estimate Update</t>
  </si>
  <si>
    <t>Project Name:</t>
  </si>
  <si>
    <t xml:space="preserve">Concept Plan to implement Fluoridation of the Christchurch Drinking Water Supplies </t>
  </si>
  <si>
    <t>Project Number:</t>
  </si>
  <si>
    <t xml:space="preserve">IA273800 </t>
  </si>
  <si>
    <t>Document Number:</t>
  </si>
  <si>
    <t>IA273800-0001-BW-EST-0001</t>
  </si>
  <si>
    <t>Date:</t>
  </si>
  <si>
    <t>2022-Mar-10</t>
  </si>
  <si>
    <t>Prepared by:</t>
  </si>
  <si>
    <t>Silvia Vlad, Jack Deely</t>
  </si>
  <si>
    <t>Reviewed by:</t>
  </si>
  <si>
    <t>Becky MacDonald, Richard Greenwood</t>
  </si>
  <si>
    <t>Concept Plan to Implement Fluoridation of the Christchurch Drinking Water Supplies</t>
  </si>
  <si>
    <t>Deliverable:</t>
  </si>
  <si>
    <t>Implementation Estimate - Preliminary Update</t>
  </si>
  <si>
    <t xml:space="preserve">Commenters: </t>
  </si>
  <si>
    <t>Laco Yan (LY), Gijs Hovens (GH)</t>
  </si>
  <si>
    <t>Responders:</t>
  </si>
  <si>
    <t>Silvia Vlad (SV), Becky MacDonald (BM), Richard Greenwood (RG)</t>
  </si>
  <si>
    <t>Comment Number</t>
  </si>
  <si>
    <t>Reference Page, Section No.</t>
  </si>
  <si>
    <t>City's Comment</t>
  </si>
  <si>
    <t>Commenter</t>
  </si>
  <si>
    <t>Consultant's Response</t>
  </si>
  <si>
    <t>P6 of the power point file</t>
  </si>
  <si>
    <t>The Estimation of Process Cost is the basis of the entire estimation. It is recommended to check into details and cover all elements, not only pumps and equipment, but also pipes, valves, fittings, and associate material.</t>
  </si>
  <si>
    <t>Laco Yan</t>
  </si>
  <si>
    <t>Noted. The process cost includes a $7,800 allowance for pipes and fittings, at a reference cost of approximately $300/m for pipe-in-pipe configuration.</t>
  </si>
  <si>
    <t>The allowance of Installation cost (15% to equipment cost) is low. Based on the previous experience, the budget of mechanical installation cost in PS is around 25-30%.</t>
  </si>
  <si>
    <t>The estimate has been updated accordingly</t>
  </si>
  <si>
    <t>P7 of the power point file</t>
  </si>
  <si>
    <t>Building expansion (if Required). This is a high risk scope due to the expensive cost. It is recommended to have more specified information, for example the area requirement of each unit. Allowance to be made based on the “new area”.</t>
  </si>
  <si>
    <r>
      <t>The building area estimate is based on a 4x4m space for the small and medium sized facilities, and a 4x5m space for the large facilities, with a reference cost of $2000/m</t>
    </r>
    <r>
      <rPr>
        <vertAlign val="superscript"/>
        <sz val="10"/>
        <rFont val="Jacobs Chronos"/>
        <family val="2"/>
      </rPr>
      <t>2</t>
    </r>
    <r>
      <rPr>
        <sz val="10"/>
        <rFont val="Jacobs Chronos"/>
        <family val="2"/>
      </rPr>
      <t xml:space="preserve">, including reinforced concrete foundations, walls, roofing and doors. </t>
    </r>
  </si>
  <si>
    <t>P15 of the power point file</t>
  </si>
  <si>
    <t>Mechanical installation cost is missing from the tab. Is it covered in the process equipment?</t>
  </si>
  <si>
    <t>The estimate has been updated to include additional budget for the installation of building mechanical equipment. Installation of process and instrumentation equipment is included in the process subtotal, at a rate of 30%.</t>
  </si>
  <si>
    <t>Commissioning is missing</t>
  </si>
  <si>
    <t>Commissioning has been broken out separately from the other costs to clarify. Estimated based on reference projects to be approximately 100 hours per site</t>
  </si>
  <si>
    <t>P16 of the power point file</t>
  </si>
  <si>
    <t>The allowance of P&amp;G is high. From HDM and previous project, the overhead is approx 15-18%</t>
  </si>
  <si>
    <t>The recommendation is noted. However, a 30% allowance is recommended given the complexity and number of contractors who will be engaged to complete the work</t>
  </si>
  <si>
    <t>P17 of the power point file</t>
  </si>
  <si>
    <t>The % to Engineering shall includes the investigation.</t>
  </si>
  <si>
    <t xml:space="preserve">The estimate has been updated to include additional budget for the investigation stage. </t>
  </si>
  <si>
    <t>given that this is permanent what is the estimated depreciation rate? 
Where is this reflected via an annual estimated renewals budget?</t>
  </si>
  <si>
    <t xml:space="preserve">CCC Internal Staff PM 2% is low, recommend 4%. </t>
  </si>
  <si>
    <t>P18 of the power point file</t>
  </si>
  <si>
    <t>Contingency 30% is reasonable for estimation at this stage.</t>
  </si>
  <si>
    <t xml:space="preserve">Noted. </t>
  </si>
  <si>
    <t>P18  of the power point file</t>
  </si>
  <si>
    <t>Escalation 1 year. Is there any basis for this figure 5%? It is recommended to apply the figure from Stat NZ  Heavy and civil engineering construction %.</t>
  </si>
  <si>
    <t>We are currently seeing significant escalation in equipment and materials costs both globally and regionally. Average increase in the NZ Heavy and civil engineering construction index has been &gt;4%/year since 2019, and the most recent quarterly increase is indicative of 9% inflation from December 2020 to December 2021. A minimum rate of 5% (or greater) is recommended</t>
  </si>
  <si>
    <t>Escalation. Why it is only for one year. In the Schedule, it shows a 3 year construction period.</t>
  </si>
  <si>
    <t>The schedule was updated based on equipment lead times which we were still awaiting. The estimate has been updated to include 28 month’s escalation based on a midpoint of construction in July 2024</t>
  </si>
  <si>
    <t>Process/ Instrumentation -  Capital Direct</t>
  </si>
  <si>
    <t>Confirm that this includes allowance for suitable security/bunding at dosing points to prevent spill and vandalism. 
Confirm this includes suitable allowance for fittings (dosing systems can use a LOT of fittings)</t>
  </si>
  <si>
    <t>Gijs Hovens</t>
  </si>
  <si>
    <t xml:space="preserve">The estimate includes $8,000-10,000 for bunding (Depending on system size) and a $15k security allowance (captured under the miscellaneous subtotal)  
The estimate also includes a $7,800 allowance for piping and fittings </t>
  </si>
  <si>
    <t>Building/Civil - Capital Direct</t>
  </si>
  <si>
    <t>Suggest base estimate is explicit that it excludes cost escalations for any accidental asbestos or contaminated materials discovery (we got badly burnt for this at places like Avonhead, Trafalgar, etc.. when wellhead raising).</t>
  </si>
  <si>
    <t xml:space="preserve">Noted. The estimate does not include designated substance/asbestos abatement, and this is noted in the revised line item title. </t>
  </si>
  <si>
    <t>Misc - Capital Direct</t>
  </si>
  <si>
    <t>Is there an allowance for SCADA critical spares?</t>
  </si>
  <si>
    <t>The estimate includes an allowance for critical spares including instrumentation, and has been updated to include a $5k allowance/site for SCADA critical spares</t>
  </si>
  <si>
    <t>Capital non-xn</t>
  </si>
  <si>
    <t xml:space="preserve">$40k comm’s protocol says “by site” – which seems to indicate it is more as a direct cost (software/hardware?) under IEC (and therefore subject to the markups)?
</t>
  </si>
  <si>
    <t>This is a question to flag for Karn. When he provided the initial estimate he noted it was for time on site, but there may be hardware/software components of the cost.</t>
  </si>
  <si>
    <t xml:space="preserve">Documentation updates (1 week per facility) might work if just taking the Asset Management view; for the Operations/Maintenance documentation I would suggest you’ll need an additional 2 weeks per facility if you want P&amp;ID’s, O&amp;M manuals, field labelling, GIS updates, OEM manuals, SSRMP plans, SOP’s, contractor servicing plans, operational and compliance checklists all collated and verified.
 </t>
  </si>
  <si>
    <t>10 days training at $10,000 feels light for training up staff in the hazards of chemical handling (Certified Handlers). Would suggest that this would be a week per person due to the level of chemical risk. At 5 people this is likely to be closer to $35,000.</t>
  </si>
  <si>
    <t xml:space="preserve">The update has been updated to include a $35,000 training budget, which breaks down to 5 days for 7 people based on the hourly rate assumed.  </t>
  </si>
  <si>
    <t xml:space="preserve">Include $5,000 for chemical/safety labelling.  </t>
  </si>
  <si>
    <t xml:space="preserve">Supplier labelling is included in the process equipment cost. The estimate has been updated to include a further $5,000 budget for CCC-specific labelling </t>
  </si>
  <si>
    <t>O&amp;M - Chemical</t>
  </si>
  <si>
    <t>•	Be explicit that this is at current pricing, presume that pricing is subject to fluctuation on no less than quarterly basis?
•	Allow 16 hours FTE time per annum for contract management
•	Allow 16 hours FTE time for PO/invoice processing</t>
  </si>
  <si>
    <t>The estimate has been updated accordingly
The estimate has been updated accordingly, with an additional 16 hours for managing a second contract for container disposal.
The estimate has been updated accordingly with an additional 16 hours for PO/invoice processing for the disposal contract</t>
  </si>
  <si>
    <t xml:space="preserve"> O&amp;M - Slide 19 (page 22) Compliance</t>
  </si>
  <si>
    <t>Weekly fluoride analysis:
•	0.5FTE at $380k therefore 1 FTE is $600k/annum. Even at 50% loading this is $300k/annum. Where do I sign up?</t>
  </si>
  <si>
    <t xml:space="preserve">This was a transcription error from the calculations sheet to the power point slides, apologies for the confusion. At a standard rate of $125/hr, the 0.5 FTE line item should total $146,250. </t>
  </si>
  <si>
    <t xml:space="preserve"> O&amp;M - Slide 19 (page 23) Compliance</t>
  </si>
  <si>
    <t>Weekly fluoride analysis:
0.5FTE at $380k therefore 1 FTE is $600k/annum. Even at 50% loading this is $300k/annum. Where do I sign up?</t>
  </si>
  <si>
    <t>O&amp;M Other</t>
  </si>
  <si>
    <t>Given that this is permanent what is the estimated depreciation rate? 
Where is this reflected via an annual estimated renewals budget?</t>
  </si>
  <si>
    <t>For depreciation, the assets would depriciate to zero over the course of their useful lives. 
For state-of-good-repair/renewals budgeting purposes, we would suggest the following mid-life intervention and end-of-life-replacement timelines:
 - Liquid chemical system: replace at 10 years  (typically assumed at 20 years, but given our experience on similar projects, a 10 year life span is more appropriate for the corrosive nature of HFA)
 - Appurtenances of the system (e.g. piping, tanks): review and replace as required at 10 years
 - Scrubber media for a passive scrubber: replace at 5 years.  
 - Air handling units and misc. building mechanical: mid-life intervention at 15 years, replace at 25 years
 - Miscellaneous electrical: replace at 30 years
 - Health and safety equipment: replace at 10 years
 - Analyzers, indicators, analytical instruments and misc. instrumentation: replace at 10-15  - years, assume 10 years 
 - Misc. site works: intervention at 40 years
 - Signage: replace at 20 years
 - Security: replace 8 years based on obsolescence
 - Misc. light structural: mid-life intervention every 10 years, replace at 40 years
Based on these assumptions, the estimate has been updated andan annualized sate-of-good-repair cost of $1,058,000 is anticipated, including the same project cost markups as included in capital estimate</t>
  </si>
  <si>
    <t>Estimate Summary</t>
  </si>
  <si>
    <t>Item</t>
  </si>
  <si>
    <t>Basis</t>
  </si>
  <si>
    <t>Small</t>
  </si>
  <si>
    <t>Medium</t>
  </si>
  <si>
    <t>Large</t>
  </si>
  <si>
    <t>Process</t>
  </si>
  <si>
    <t xml:space="preserve">Building Mechanical </t>
  </si>
  <si>
    <t>Structural</t>
  </si>
  <si>
    <t>Civil</t>
  </si>
  <si>
    <t>to</t>
  </si>
  <si>
    <t>Electrical</t>
  </si>
  <si>
    <t>I&amp;C</t>
  </si>
  <si>
    <t>Miscellaneous</t>
  </si>
  <si>
    <t>Direct Cost Subtotal</t>
  </si>
  <si>
    <t xml:space="preserve">Preliminary &amp; General Cost, Mobilization &amp; Demobilization, Overhead and Profit </t>
  </si>
  <si>
    <t>Contractor Overhead, Profit and Risk</t>
  </si>
  <si>
    <t>Warranty (Defects Liability Period)</t>
  </si>
  <si>
    <t>Construction Value Subtotal</t>
  </si>
  <si>
    <t>Total for All Facilities</t>
  </si>
  <si>
    <t>Average Per facility</t>
  </si>
  <si>
    <t>Permitting &amp; Consents</t>
  </si>
  <si>
    <t>Engineering</t>
  </si>
  <si>
    <t>Services During Construction – inspection, contract administration</t>
  </si>
  <si>
    <t>CCC Internal Program Management</t>
  </si>
  <si>
    <t>Documentation Updates – reports, asset management systems, drawing repositories</t>
  </si>
  <si>
    <t>1 week per facility</t>
  </si>
  <si>
    <t>SCADA Template development</t>
  </si>
  <si>
    <t>12 weeks total</t>
  </si>
  <si>
    <t>SCADA Upgrade – communications protocol</t>
  </si>
  <si>
    <t>$40,000 per site</t>
  </si>
  <si>
    <t>Training</t>
  </si>
  <si>
    <t>10 days</t>
  </si>
  <si>
    <t xml:space="preserve">Non-Construction Implementation Costs </t>
  </si>
  <si>
    <t>Capital Cost</t>
  </si>
  <si>
    <t>Multiplier</t>
  </si>
  <si>
    <t>Average per Facility</t>
  </si>
  <si>
    <t>Akaroa</t>
  </si>
  <si>
    <t>Brooklands / Kainga</t>
  </si>
  <si>
    <t>Christchurch</t>
  </si>
  <si>
    <t>Lyttelton</t>
  </si>
  <si>
    <t>Total</t>
  </si>
  <si>
    <t xml:space="preserve">Check </t>
  </si>
  <si>
    <t xml:space="preserve">Markups </t>
  </si>
  <si>
    <t>Non-Construction Implementation Costs</t>
  </si>
  <si>
    <t>Base Estimate</t>
  </si>
  <si>
    <t>Contingency</t>
  </si>
  <si>
    <t>Project Estimate</t>
  </si>
  <si>
    <t>Escalation</t>
  </si>
  <si>
    <t xml:space="preserve">Escalation </t>
  </si>
  <si>
    <t>Total Outrun Cost Estimate</t>
  </si>
  <si>
    <t>Chemical Supply, Delivery and Waste Disposal</t>
  </si>
  <si>
    <t>Annual Estimate</t>
  </si>
  <si>
    <t>Total annual flow (m3/yr)</t>
  </si>
  <si>
    <t>Volume of chemical used per year (L/yr)</t>
  </si>
  <si>
    <t>Chemical cost, delivered ($/yr)</t>
  </si>
  <si>
    <t>Container disposal ($/yr)</t>
  </si>
  <si>
    <t>Contract management</t>
  </si>
  <si>
    <t>PO and invoice processing</t>
  </si>
  <si>
    <t>Chemical Supply, Delivery &amp; Waste Disposal Subtotal</t>
  </si>
  <si>
    <t>O&amp;M Cost</t>
  </si>
  <si>
    <t>Compliance Management, Maintenance and Inspection Subtotal</t>
  </si>
  <si>
    <t>Total O&amp;M Cost Estimate - All facilities</t>
  </si>
  <si>
    <t>State of Good Repair/Renewals</t>
  </si>
  <si>
    <t>Annualized cost</t>
  </si>
  <si>
    <t>Cost Breakdown</t>
  </si>
  <si>
    <t xml:space="preserve">By Facility </t>
  </si>
  <si>
    <t>updates per CCC comments</t>
  </si>
  <si>
    <t xml:space="preserve">Estimate Basis </t>
  </si>
  <si>
    <t>System Size</t>
  </si>
  <si>
    <t>Facility</t>
  </si>
  <si>
    <t>Parameter</t>
  </si>
  <si>
    <t>Units</t>
  </si>
  <si>
    <t xml:space="preserve">Medium </t>
  </si>
  <si>
    <t>Notes</t>
  </si>
  <si>
    <t>Potential Designations</t>
  </si>
  <si>
    <t>Thompsons</t>
  </si>
  <si>
    <t>Avonhead</t>
  </si>
  <si>
    <t>Belfast</t>
  </si>
  <si>
    <t>Burnside</t>
  </si>
  <si>
    <t>Crosbie</t>
  </si>
  <si>
    <t>Farrington</t>
  </si>
  <si>
    <t>Grampian</t>
  </si>
  <si>
    <t>Jeffreys</t>
  </si>
  <si>
    <t>Redwood</t>
  </si>
  <si>
    <t>Wrights</t>
  </si>
  <si>
    <t>Gardiners</t>
  </si>
  <si>
    <t>Aston</t>
  </si>
  <si>
    <t>Effingham</t>
  </si>
  <si>
    <t>Keyes</t>
  </si>
  <si>
    <t>Lake Terrace</t>
  </si>
  <si>
    <t>Carters</t>
  </si>
  <si>
    <t>Estuary</t>
  </si>
  <si>
    <t>Sockburn</t>
  </si>
  <si>
    <t>Denton</t>
  </si>
  <si>
    <t>Wilmers</t>
  </si>
  <si>
    <t>Dunbars</t>
  </si>
  <si>
    <t>Main Pumps WS</t>
  </si>
  <si>
    <t>Addington</t>
  </si>
  <si>
    <t>Aldwins</t>
  </si>
  <si>
    <t>Blighs</t>
  </si>
  <si>
    <t>Grassmere</t>
  </si>
  <si>
    <t>Hillmorton</t>
  </si>
  <si>
    <t>Hills</t>
  </si>
  <si>
    <t>Mays</t>
  </si>
  <si>
    <t>Montreal</t>
  </si>
  <si>
    <t>Spreydon</t>
  </si>
  <si>
    <t>Sydenham</t>
  </si>
  <si>
    <t>Trafalgar</t>
  </si>
  <si>
    <t>Worcester</t>
  </si>
  <si>
    <t>Tanner</t>
  </si>
  <si>
    <t>Picton</t>
  </si>
  <si>
    <t>Tara</t>
  </si>
  <si>
    <t>St Johns</t>
  </si>
  <si>
    <t>Woolston</t>
  </si>
  <si>
    <t>Marshlands</t>
  </si>
  <si>
    <t>Parklands</t>
  </si>
  <si>
    <t>Prestons</t>
  </si>
  <si>
    <t>Brooklands</t>
  </si>
  <si>
    <t>Kainga</t>
  </si>
  <si>
    <t>Akaroa L’Aube Hill WTP</t>
  </si>
  <si>
    <t xml:space="preserve">Max Flow </t>
  </si>
  <si>
    <t>m3/hr</t>
  </si>
  <si>
    <t>Capacity Future (m3/hr)</t>
  </si>
  <si>
    <t xml:space="preserve">Avg. Flow </t>
  </si>
  <si>
    <t>per Michele, estimated at 1/3 of peak flow</t>
  </si>
  <si>
    <t>Avg. flow (based on 30% of future capacity) (m3/hr)</t>
  </si>
  <si>
    <t xml:space="preserve">minimum bulk storage tank volume </t>
  </si>
  <si>
    <t>L</t>
  </si>
  <si>
    <t>based on 2 weeks' storage at average flow, average dose</t>
  </si>
  <si>
    <t>Facility Size designation</t>
  </si>
  <si>
    <t>Bulk tank capacity</t>
  </si>
  <si>
    <t xml:space="preserve">based on sizing available from Filtec </t>
  </si>
  <si>
    <t>Mixer required</t>
  </si>
  <si>
    <t>Yes/no</t>
  </si>
  <si>
    <t>minimum day tank volume</t>
  </si>
  <si>
    <t>based on 24 hours at max flow, max dose</t>
  </si>
  <si>
    <t>Building expansion required</t>
  </si>
  <si>
    <t>yes/no</t>
  </si>
  <si>
    <t>day tank capacity</t>
  </si>
  <si>
    <t>tree removal required</t>
  </si>
  <si>
    <t>no. metering pumps</t>
  </si>
  <si>
    <t>duty/standby</t>
  </si>
  <si>
    <t>overall site constraints</t>
  </si>
  <si>
    <t>none/minor/medium/high</t>
  </si>
  <si>
    <t>no. transfer pumps</t>
  </si>
  <si>
    <t>confirm if duty/standby is needed</t>
  </si>
  <si>
    <t>markup - Delivery Constraint</t>
  </si>
  <si>
    <t>none/minor/medium</t>
  </si>
  <si>
    <t>no. carrier water pumps</t>
  </si>
  <si>
    <t>markup - WW connection</t>
  </si>
  <si>
    <t>on site, on road, far, none</t>
  </si>
  <si>
    <t xml:space="preserve">footprint </t>
  </si>
  <si>
    <t>m2</t>
  </si>
  <si>
    <t>larger footprint required for large system as bulk tank footprint will be larger</t>
  </si>
  <si>
    <t>Water Supply Area</t>
  </si>
  <si>
    <t>Christchurch, Brooklands Kainga, Akaroa</t>
  </si>
  <si>
    <t xml:space="preserve">Carrier water flow </t>
  </si>
  <si>
    <t>L/s</t>
  </si>
  <si>
    <t>based on 1:100 dilution</t>
  </si>
  <si>
    <t>L/hr</t>
  </si>
  <si>
    <t>no. PS of this size</t>
  </si>
  <si>
    <t>Constants</t>
  </si>
  <si>
    <t>Value</t>
  </si>
  <si>
    <t>Labour</t>
  </si>
  <si>
    <t>$/hr</t>
  </si>
  <si>
    <t>Target fluoride dose</t>
  </si>
  <si>
    <t>mg/L</t>
  </si>
  <si>
    <t>HFA, delivered</t>
  </si>
  <si>
    <t>$/L</t>
  </si>
  <si>
    <t>Ixom quote. Redox was not able to provide an estimate</t>
  </si>
  <si>
    <t>$/kg</t>
  </si>
  <si>
    <t>HFA delivery container disposal cost</t>
  </si>
  <si>
    <t>$/container</t>
  </si>
  <si>
    <t xml:space="preserve">placeholder value, approximately 20% of the delivery cost. Typically on a $/kg basis. Awaiting quote from Envirowaste </t>
  </si>
  <si>
    <t>HFA active chemical concentration</t>
  </si>
  <si>
    <t>kg/L</t>
  </si>
  <si>
    <t>*** note that cost estimate does not account for potential bulk/program discounts</t>
  </si>
  <si>
    <t>Capital Cost Estimate</t>
  </si>
  <si>
    <t>% markups</t>
  </si>
  <si>
    <t>Small System Cost</t>
  </si>
  <si>
    <t>Medium System Cost</t>
  </si>
  <si>
    <t>Large System Cost</t>
  </si>
  <si>
    <t>All Facilities</t>
  </si>
  <si>
    <t>Source</t>
  </si>
  <si>
    <t>% of Capital Subtotal</t>
  </si>
  <si>
    <t>Renewal Category</t>
  </si>
  <si>
    <t>TOTAL - all facilities</t>
  </si>
  <si>
    <t>Process Equipment</t>
  </si>
  <si>
    <t>Bulk Tank</t>
  </si>
  <si>
    <t>Filtec</t>
  </si>
  <si>
    <t xml:space="preserve"> not including bunding</t>
  </si>
  <si>
    <t xml:space="preserve">Day Tank </t>
  </si>
  <si>
    <t>Dosing skid including pumps</t>
  </si>
  <si>
    <t>Scaled from vendor quotes</t>
  </si>
  <si>
    <t>Transfer pump</t>
  </si>
  <si>
    <t>Analyser</t>
  </si>
  <si>
    <t xml:space="preserve">Filtec </t>
  </si>
  <si>
    <t>Ultrasonic level indicator</t>
  </si>
  <si>
    <t>ChemFeed</t>
  </si>
  <si>
    <t>one for each day tank and bulk tank</t>
  </si>
  <si>
    <t>Ultrasonic level switch</t>
  </si>
  <si>
    <t>two for each day tank and bulk tank (H and L)</t>
  </si>
  <si>
    <t>Tanker loading station  for engineered tanks</t>
  </si>
  <si>
    <t>Leak detection switch x2</t>
  </si>
  <si>
    <t>for the bunded area and the containment pipe</t>
  </si>
  <si>
    <t>Carrier water pumps</t>
  </si>
  <si>
    <t>Bunding</t>
  </si>
  <si>
    <t xml:space="preserve"> Prefabricated bunds purchasing and delivery to site. Allowance for concrete coating for spills, etc.</t>
  </si>
  <si>
    <t>waste tank</t>
  </si>
  <si>
    <t>Injection quill</t>
  </si>
  <si>
    <t xml:space="preserve"> Corporation style lance</t>
  </si>
  <si>
    <t>Piping, Fittings and Pipe Tap</t>
  </si>
  <si>
    <t>reference projects</t>
  </si>
  <si>
    <t xml:space="preserve"> sampling pipework and additional 6 K for pipng and fittings (approx 20 m of pipe at $300/m).</t>
  </si>
  <si>
    <t>Safety shower</t>
  </si>
  <si>
    <t>Scrubber</t>
  </si>
  <si>
    <t>Vapour detection</t>
  </si>
  <si>
    <t xml:space="preserve">Chemical Delivery Panel </t>
  </si>
  <si>
    <t>reference project</t>
  </si>
  <si>
    <t>Flow Meter</t>
  </si>
  <si>
    <t>Mixer</t>
  </si>
  <si>
    <t>include if required</t>
  </si>
  <si>
    <t xml:space="preserve">Personal Protective Equipment </t>
  </si>
  <si>
    <t>Critical Spares</t>
  </si>
  <si>
    <t>10% of process equipment cost</t>
  </si>
  <si>
    <t>N/A</t>
  </si>
  <si>
    <t>Installation</t>
  </si>
  <si>
    <t xml:space="preserve">updated to 30% per CCC estimating engineer </t>
  </si>
  <si>
    <t>Process Subtotal</t>
  </si>
  <si>
    <t xml:space="preserve">Mechanical </t>
  </si>
  <si>
    <t>Mechanical Allowance (ventillation, heating, including installation)</t>
  </si>
  <si>
    <t>Allowance. Including ventilation (extractor fan. Separate scrubber system allowance in process equipment), heating to prevent freezing, allowance for installation added per CCC comment</t>
  </si>
  <si>
    <t>Mechanical Subtotal</t>
  </si>
  <si>
    <t>Building expansion. Excludes designated substance/asbestos abatement</t>
  </si>
  <si>
    <t>Based on Kingston unit rate, with markup for smaller facilities ($2k/m2). Includes RC foundations, walls, roof, doors.  Include if required</t>
  </si>
  <si>
    <t>Structural Subtotal</t>
  </si>
  <si>
    <t>Civil Allowance (trenching, identification of buried services, site reinstatement)</t>
  </si>
  <si>
    <t xml:space="preserve">Allowance. Includes trenching for dosing and analyzer lines, delivery pad, identification of buried services, site reinstatement. </t>
  </si>
  <si>
    <t xml:space="preserve">tree removal </t>
  </si>
  <si>
    <t>allowance, include if needed</t>
  </si>
  <si>
    <t>minor</t>
  </si>
  <si>
    <t>medium</t>
  </si>
  <si>
    <t>high</t>
  </si>
  <si>
    <t>markup - WW connection available</t>
  </si>
  <si>
    <t>if WW  connection is already available on site, no markup</t>
  </si>
  <si>
    <t>At Road</t>
  </si>
  <si>
    <t>far</t>
  </si>
  <si>
    <t>none</t>
  </si>
  <si>
    <t>Civil Subtotal</t>
  </si>
  <si>
    <t>only include required markups</t>
  </si>
  <si>
    <t>Civil markup breakdown</t>
  </si>
  <si>
    <t xml:space="preserve">Civil subtotal - high markups </t>
  </si>
  <si>
    <t>site constraints, delivery constraints, no WW connection, tree removal required</t>
  </si>
  <si>
    <t>average Civil subtotal</t>
  </si>
  <si>
    <t>Civil subtotal - medium markups</t>
  </si>
  <si>
    <t>Civil subtotal - low markups</t>
  </si>
  <si>
    <t>Civil subtotal - no markups</t>
  </si>
  <si>
    <t>Electrical allowance (lighting, electrial connections &amp; wiring) - not including any works to bring existing electrical installations in line with current code requirements</t>
  </si>
  <si>
    <t>Electrical Subtotal</t>
  </si>
  <si>
    <t>I&amp;C integration allowance</t>
  </si>
  <si>
    <t>this is equivalent to 2 people working full time for 5 weeks.  Could consider pulling this out as a separate task rather than a per-facility estimate</t>
  </si>
  <si>
    <t>New I/O modules</t>
  </si>
  <si>
    <t>estimate per workshop discussion</t>
  </si>
  <si>
    <t>per Karn's estimate. Unclear if this is required at each facility, review with CCC</t>
  </si>
  <si>
    <t>I&amp;C Subtotal</t>
  </si>
  <si>
    <t xml:space="preserve">Misc. </t>
  </si>
  <si>
    <t>Commissioning</t>
  </si>
  <si>
    <t>per Calista - 100 hours total</t>
  </si>
  <si>
    <t>SCADA critical spares</t>
  </si>
  <si>
    <t>updated per CCC feedback</t>
  </si>
  <si>
    <t>added per CCC feedback</t>
  </si>
  <si>
    <t>Plant Security Allowance (fencing, access control)</t>
  </si>
  <si>
    <t xml:space="preserve">fencing, access control. Fencing @$50/m. Estimate 300 m per site. </t>
  </si>
  <si>
    <t>Misc. Subtotal</t>
  </si>
  <si>
    <t>Direct Cost Subtotal - Per Facility</t>
  </si>
  <si>
    <t>Direct Cost Estimate - All facilities</t>
  </si>
  <si>
    <t>Markups</t>
  </si>
  <si>
    <t>Preliminary &amp; General Cost, Mobilization &amp; Demobilization</t>
  </si>
  <si>
    <t>Suggested to decrease to 18% per CCC estimating engineer. However, 30% might be more appropriate for the specialized nature of this work, and given the numerous different contractors and suppliers who will be on site</t>
  </si>
  <si>
    <t>Construction Subtotal - Per Facility</t>
  </si>
  <si>
    <t>Construction Estimate - All facilities</t>
  </si>
  <si>
    <t>Non Construction Implementation Costs</t>
  </si>
  <si>
    <t>reference projects, modified per input from CCC estimating engineer</t>
  </si>
  <si>
    <t>Based on construction-only contract
Additional 1% added to cover the "planning and investigation" stage, as raised by the CCC estimating engineer (approx. $270k)</t>
  </si>
  <si>
    <t>Services During Construction (Inspection, Contract Administration)</t>
  </si>
  <si>
    <t>CCC estimating practice</t>
  </si>
  <si>
    <t>Updated to 7% per CCC estimating engineer</t>
  </si>
  <si>
    <t>CCC Internal Project Management</t>
  </si>
  <si>
    <t>Updated to 4% per CCC estimating engineer</t>
  </si>
  <si>
    <t>Documentation Updates (reports, asset management systems, as built drawings, P&amp;IDs, Operating and Maintenance Manuals, field labelling, GIS updates, OEM manuals, SSRMP plans, SOPs, contractor servicing plans, operational and compliance checklists)</t>
  </si>
  <si>
    <t>3 weeks per facility @$125/hr, as noted in CCC feedback</t>
  </si>
  <si>
    <t>approx 2.6 FTEs. Updated per CCC comment</t>
  </si>
  <si>
    <t>SCADA Template development - CCC internal</t>
  </si>
  <si>
    <t>estimate per workshop discussion, 12 weeks @$5000/week</t>
  </si>
  <si>
    <t>SCADA communications protocols upgrade (transition to DNP3)</t>
  </si>
  <si>
    <t>per CCC (Karn), $40k total cost per site, 2-3 weeks of physical work per site</t>
  </si>
  <si>
    <t>Chemical/ safety labelling</t>
  </si>
  <si>
    <t>per CCC feedback</t>
  </si>
  <si>
    <t>Pipe labelling, 3 plastic signs per site, one on the gate, building and next to the system. $1K per site</t>
  </si>
  <si>
    <t>` @$125/hr, as noted in CCC feedback</t>
  </si>
  <si>
    <t>Upskilling of staff</t>
  </si>
  <si>
    <t>Non Construction Implementation Subtotal - All Facilities</t>
  </si>
  <si>
    <t>Base Estimate - All facilities</t>
  </si>
  <si>
    <t>consistent with CCC estimating practice</t>
  </si>
  <si>
    <t>Project Estimate - All facilities</t>
  </si>
  <si>
    <t>28 months @ 5%/year, based on July 2024 midpoint of construction</t>
  </si>
  <si>
    <t xml:space="preserve">currently seeing significant escalation in equipment and materials costs. Average increase in the NZ Heavy and civil engineering construction index has been &gt;4%/year since 2019. </t>
  </si>
  <si>
    <t>Total Outrun Cost Estimate - All facilities</t>
  </si>
  <si>
    <t>O&amp;M Cost Estimate</t>
  </si>
  <si>
    <t>Hours</t>
  </si>
  <si>
    <t>Full Time Equivalent Staffing</t>
  </si>
  <si>
    <t>total annual flow (m3/yr)</t>
  </si>
  <si>
    <t>per Michele's email total flow last FY for Christchurch (including Brooklands/Kainga) was 57,112,933 m3. 
Brooklands/Kainga was 289,376 m3 (included above)
Unfortunately we don’t have accurate records for Akaroa WTP – but we can assume 2,000 m3/d x 2 months, and 1,100 m3/d remaining months – round to 580,000 m3.</t>
  </si>
  <si>
    <t>volume of chemical used per year(L/yr)</t>
  </si>
  <si>
    <t xml:space="preserve">chemical cost ($/yr), subject to price fluctuations </t>
  </si>
  <si>
    <t>containers/year</t>
  </si>
  <si>
    <t>container disposal $/yr</t>
  </si>
  <si>
    <t>awaiting quote from Envirowaste, placeholder value</t>
  </si>
  <si>
    <t>Chemical Supply Subtotal</t>
  </si>
  <si>
    <t xml:space="preserve">Compliance Management, Maintenance and Inspection </t>
  </si>
  <si>
    <t>Breakdown</t>
  </si>
  <si>
    <t>Annual Frequency</t>
  </si>
  <si>
    <t>Duration</t>
  </si>
  <si>
    <t>No. Sites</t>
  </si>
  <si>
    <t>Total Hours</t>
  </si>
  <si>
    <t xml:space="preserve">Annual Cost </t>
  </si>
  <si>
    <t>FTEs</t>
  </si>
  <si>
    <t>per Code of practice. Assumes staff are already travelling to site weekly</t>
  </si>
  <si>
    <t>Daily changes in the volume/mass of fluoride chemical consumed in the process must be recorded and used as an additional check of the online measurements</t>
  </si>
  <si>
    <t>monthly review</t>
  </si>
  <si>
    <t>Grab samples should be analysed at least weekly to check the calibration of the on-line analyser</t>
  </si>
  <si>
    <t>weekly sampling</t>
  </si>
  <si>
    <t>fluoride level in the treated water leaving the plant is analysed once a week, by a laboratory recognised by the Ministry of Health. To be integrated in the Water Safety Plan</t>
  </si>
  <si>
    <t>additional cost for analysis to be confirmed. Approx. $100/sample assumed</t>
  </si>
  <si>
    <t xml:space="preserve">After-hours response to alarms </t>
  </si>
  <si>
    <t>Investigate and rectify any discrepancies of 0.15 mg/L or more between the monitoring results and the online monitoring and daily chemical volume checks</t>
  </si>
  <si>
    <t xml:space="preserve">Annual testing of shutdown systems </t>
  </si>
  <si>
    <t>Annual raw water fluoride testing</t>
  </si>
  <si>
    <t xml:space="preserve"> (already on going)</t>
  </si>
  <si>
    <t>Monthly metering pump calibration</t>
  </si>
  <si>
    <t xml:space="preserve">Analyzer calibration (required monthly per Taumata Arowai) </t>
  </si>
  <si>
    <t xml:space="preserve">Receive chemical shipments and transfer to bulk chemical tank </t>
  </si>
  <si>
    <t>Monthly inspections and preventative maintenance</t>
  </si>
  <si>
    <t>Reactive Maintenance</t>
  </si>
  <si>
    <t>1 event per year at 50% of the facilities</t>
  </si>
  <si>
    <t>SCADA Management</t>
  </si>
  <si>
    <t>2 hours per site per month.</t>
  </si>
  <si>
    <t xml:space="preserve">Training/review to maintain competencies in the management and operation of the fluoridation systems </t>
  </si>
  <si>
    <t>Recordkeeping (training records, chemical analysis, calibration, alarm testing, surveillance monitoring, etc)</t>
  </si>
  <si>
    <t>approximately 3 full time staff, additional activities only (not including travel time to sites)</t>
  </si>
  <si>
    <t>Renewal Budget</t>
  </si>
  <si>
    <t>Asset</t>
  </si>
  <si>
    <t>Replacement Value</t>
  </si>
  <si>
    <t>Replacement Value with markups (35% from direct cost to construction estimate, further 25% for project costs)</t>
  </si>
  <si>
    <t>midlife intervention frequency (years)</t>
  </si>
  <si>
    <t>Useful life (years)</t>
  </si>
  <si>
    <t>midlife intervention cost</t>
  </si>
  <si>
    <t>Spend Years 1-5</t>
  </si>
  <si>
    <t>Spend Years 6-10</t>
  </si>
  <si>
    <t>Spend Years 11-15</t>
  </si>
  <si>
    <t>Spend Years 16-20</t>
  </si>
  <si>
    <t xml:space="preserve">Liquid chemical system </t>
  </si>
  <si>
    <t xml:space="preserve">Appurtenances of the system (e.g. piping, tanks) </t>
  </si>
  <si>
    <t xml:space="preserve">Health and safety equipment </t>
  </si>
  <si>
    <t xml:space="preserve">Scrubber media for a passive scrubber </t>
  </si>
  <si>
    <t>Air handling units  and misc. building mechanical</t>
  </si>
  <si>
    <t>Analyzers, indicators, analytical instruments and misc. instrumentation</t>
  </si>
  <si>
    <t xml:space="preserve">Misc. electrical </t>
  </si>
  <si>
    <t xml:space="preserve">Misc. site works </t>
  </si>
  <si>
    <t xml:space="preserve">Misc. light structural </t>
  </si>
  <si>
    <t xml:space="preserve">Security </t>
  </si>
  <si>
    <t xml:space="preserve">Signage </t>
  </si>
  <si>
    <t>Annualized State of Good Repair Cost</t>
  </si>
  <si>
    <t>Annualized Replacement Cost</t>
  </si>
  <si>
    <t>No. Midlife interventions in useful life</t>
  </si>
  <si>
    <t>Annualized Midlife intervention Cost</t>
  </si>
  <si>
    <t>Total Annualized Cost</t>
  </si>
  <si>
    <t>Preliminary Schedule Estimate</t>
  </si>
  <si>
    <t>Task</t>
  </si>
  <si>
    <t xml:space="preserve">Duration </t>
  </si>
  <si>
    <t>April</t>
  </si>
  <si>
    <t>May</t>
  </si>
  <si>
    <t>June</t>
  </si>
  <si>
    <t>July</t>
  </si>
  <si>
    <t>August</t>
  </si>
  <si>
    <t>September</t>
  </si>
  <si>
    <t>October</t>
  </si>
  <si>
    <t>November</t>
  </si>
  <si>
    <t>December</t>
  </si>
  <si>
    <t>January</t>
  </si>
  <si>
    <t>February</t>
  </si>
  <si>
    <t>March</t>
  </si>
  <si>
    <t>Year 1</t>
  </si>
  <si>
    <t>Year 2</t>
  </si>
  <si>
    <t>Year 3</t>
  </si>
  <si>
    <t>Year 4</t>
  </si>
  <si>
    <t>Year 5</t>
  </si>
  <si>
    <t>Implementation Planning</t>
  </si>
  <si>
    <t xml:space="preserve">Preliminary Designs of selected facilities and updated costing </t>
  </si>
  <si>
    <t>4 months</t>
  </si>
  <si>
    <t>Apr. - Jul. 2022</t>
  </si>
  <si>
    <t>Priority Facilities</t>
  </si>
  <si>
    <t>assume 15 facilities per tract</t>
  </si>
  <si>
    <t xml:space="preserve">Detailed Design </t>
  </si>
  <si>
    <t>7 months</t>
  </si>
  <si>
    <t>depends on how many we want to delivery in the "priority" tract</t>
  </si>
  <si>
    <t xml:space="preserve">Tendering Period </t>
  </si>
  <si>
    <t>includes prepration, issue for tender, tender period, evaluation and award</t>
  </si>
  <si>
    <t>Mobilization</t>
  </si>
  <si>
    <t>1 month</t>
  </si>
  <si>
    <t>Wait until fall to start, as construction is constrained in the summer</t>
  </si>
  <si>
    <t>Civil and structural works</t>
  </si>
  <si>
    <t>6 weeks</t>
  </si>
  <si>
    <t>stagger to start 5 facilities at a time, in 3 waves 1 month apart</t>
  </si>
  <si>
    <t>Equipment lead time</t>
  </si>
  <si>
    <t>6 months</t>
  </si>
  <si>
    <t>from contract award, allowing an additional 4 weeks for the contractor to finalize quotes and place orders. Schedule could be compressed by pre-purchasing equipment with long lead time</t>
  </si>
  <si>
    <t>Equipment installation, startup and commissioning</t>
  </si>
  <si>
    <t>Warranty Period</t>
  </si>
  <si>
    <t>1 year</t>
  </si>
  <si>
    <t>Secondary Facilities</t>
  </si>
  <si>
    <t>assume 15 facilities</t>
  </si>
  <si>
    <t>standardized design, documenting differences</t>
  </si>
  <si>
    <t>Tendering</t>
  </si>
  <si>
    <t xml:space="preserve">from contract award, allowing an additional 4 weeks for the contractor to finalize quotes and place orders. </t>
  </si>
  <si>
    <t>Tertiary Facilities</t>
  </si>
  <si>
    <t>Inflation Estimate</t>
  </si>
  <si>
    <t>Heavy and civil engineering construction index</t>
  </si>
  <si>
    <t>SQNEE1200</t>
  </si>
  <si>
    <t>Date</t>
  </si>
  <si>
    <t>Annual % increase</t>
  </si>
  <si>
    <t>Quarterly % increase</t>
  </si>
  <si>
    <t>1181</t>
  </si>
  <si>
    <t>Dec-19</t>
  </si>
  <si>
    <t>1182</t>
  </si>
  <si>
    <t>Mar-20</t>
  </si>
  <si>
    <t>1166</t>
  </si>
  <si>
    <t>Jun-20</t>
  </si>
  <si>
    <t>Sep-20</t>
  </si>
  <si>
    <t>Dec-20</t>
  </si>
  <si>
    <t>1198</t>
  </si>
  <si>
    <t>Mar-21</t>
  </si>
  <si>
    <t>1223</t>
  </si>
  <si>
    <t>Jun-21</t>
  </si>
  <si>
    <t>1253</t>
  </si>
  <si>
    <t>Sep-21</t>
  </si>
  <si>
    <t>1288</t>
  </si>
  <si>
    <t>Dec-21</t>
  </si>
  <si>
    <t>Average</t>
  </si>
  <si>
    <t xml:space="preserve">Chemical System Sizing </t>
  </si>
  <si>
    <t>Small System Range</t>
  </si>
  <si>
    <t>Medium System Range</t>
  </si>
  <si>
    <t>Large System Range</t>
  </si>
  <si>
    <t>Max Flow</t>
  </si>
  <si>
    <t>average flow</t>
  </si>
  <si>
    <t>MLD</t>
  </si>
  <si>
    <t xml:space="preserve">Per Michele:
Peak demand is 3x more than average demand </t>
  </si>
  <si>
    <t>minimum Flow</t>
  </si>
  <si>
    <t>assume 10% of max flow</t>
  </si>
  <si>
    <t>Hydrofluorosilicic Acid</t>
  </si>
  <si>
    <t>No. Application points (duty)</t>
  </si>
  <si>
    <t>No. Application points (total)</t>
  </si>
  <si>
    <t>Chemical storage time requirement</t>
  </si>
  <si>
    <t>days</t>
  </si>
  <si>
    <t>per client meeting, 2-4 weeks supply.</t>
  </si>
  <si>
    <t>Chemical storage calculation basis</t>
  </si>
  <si>
    <t>Average Flow, Average Dose</t>
  </si>
  <si>
    <t>Minimum bulk storage volume required</t>
  </si>
  <si>
    <t>m3</t>
  </si>
  <si>
    <t>No. bulk Chemical Storage tanks</t>
  </si>
  <si>
    <t>Individual bulk storage tank volume</t>
  </si>
  <si>
    <t>IBC at 1.14 m3. Consider using 2 x 0.2 m3 drums, or smaller carboys</t>
  </si>
  <si>
    <t>Total Storage Volume</t>
  </si>
  <si>
    <t>No. active metering pumps</t>
  </si>
  <si>
    <t>only one pump needed for turn down 1:100</t>
  </si>
  <si>
    <t>no. standby metering pumps</t>
  </si>
  <si>
    <t>Dose - max</t>
  </si>
  <si>
    <t>Dose - average</t>
  </si>
  <si>
    <t>assume no background F, conservative dosing</t>
  </si>
  <si>
    <t>Dose - min</t>
  </si>
  <si>
    <t xml:space="preserve">% active chemical </t>
  </si>
  <si>
    <t>% w/w</t>
  </si>
  <si>
    <t xml:space="preserve">based on 23% concentration with 79% available fluoride </t>
  </si>
  <si>
    <t>specific gravity</t>
  </si>
  <si>
    <t>active chemical concentration</t>
  </si>
  <si>
    <t>kg/m3</t>
  </si>
  <si>
    <t>Max dose "dry" chemical application</t>
  </si>
  <si>
    <t>kg/d</t>
  </si>
  <si>
    <t>Max flow at feed concentration</t>
  </si>
  <si>
    <t>L/h</t>
  </si>
  <si>
    <t>per duty application point</t>
  </si>
  <si>
    <t>days storage at avg. flow, avg. dose</t>
  </si>
  <si>
    <t xml:space="preserve"> HFA is stable for 3 months without issue</t>
  </si>
  <si>
    <t>days storage at max. flow, avg. dose</t>
  </si>
  <si>
    <t>days storage at max. flow, max. dose</t>
  </si>
  <si>
    <t>No. Day Tanks</t>
  </si>
  <si>
    <t xml:space="preserve">No. Hours in Operation per Day </t>
  </si>
  <si>
    <t>hours/ day</t>
  </si>
  <si>
    <t>Day Tank Volume required for Max. Flow, Max Dose</t>
  </si>
  <si>
    <t>No. Day Tank Transfer Pumps</t>
  </si>
  <si>
    <t>No. Carrier Water Pumps</t>
  </si>
  <si>
    <t>Dilution ratio (1:X)</t>
  </si>
  <si>
    <t>carrier water flow rate</t>
  </si>
  <si>
    <t>based on max flow at feed concentration</t>
  </si>
  <si>
    <r>
      <t xml:space="preserve">CHRISTCHURCH PUMP STATION LIST </t>
    </r>
    <r>
      <rPr>
        <sz val="14"/>
        <color theme="1"/>
        <rFont val="Calibri"/>
        <family val="2"/>
        <scheme val="minor"/>
      </rPr>
      <t>(February 2022)</t>
    </r>
  </si>
  <si>
    <t>Comments</t>
  </si>
  <si>
    <t>Urban? Proximity of consumers?</t>
  </si>
  <si>
    <t>Assessment of accessway and space for turning larger vehicles.
Minor - need to reverse out</t>
  </si>
  <si>
    <t>Building expansion or new stand-alone building required</t>
  </si>
  <si>
    <t>assume 4 x 4 m, review per previous report on poential UV equipment locations</t>
  </si>
  <si>
    <t xml:space="preserve">On site, on road (either side), far (down an accessway with residential housing in between), none visible on previous site footprint assessment, or Cantebury Maps. </t>
  </si>
  <si>
    <t xml:space="preserve">Carters and a few(5-10) other stations (Eastern side) have vacuum ww mains systems that would require batching </t>
  </si>
  <si>
    <t>Yes (likely) /no</t>
  </si>
  <si>
    <t>30 pipe diameters between metering chamber (point of injection) and sampling point (before 1st diversion)</t>
  </si>
  <si>
    <t>PS#</t>
  </si>
  <si>
    <t>Water Supply Zone</t>
  </si>
  <si>
    <t>PS Name</t>
  </si>
  <si>
    <t>Water Supply</t>
  </si>
  <si>
    <t>PS Number</t>
  </si>
  <si>
    <t>Include / Exclude</t>
  </si>
  <si>
    <t xml:space="preserve">PS Type </t>
  </si>
  <si>
    <t>Description</t>
  </si>
  <si>
    <t>Suction Tank</t>
  </si>
  <si>
    <t>Suction Tank Volume (m3)</t>
  </si>
  <si>
    <t>No. Wells</t>
  </si>
  <si>
    <t>No. Surface Pumps</t>
  </si>
  <si>
    <t>Pump Size (m3/hr/pump)</t>
  </si>
  <si>
    <t>Max historic Q (m3/hr)</t>
  </si>
  <si>
    <t>PS Capacity Now  (m3/hr)</t>
  </si>
  <si>
    <t>PS Capacity Future (m3/hr)</t>
  </si>
  <si>
    <t>CCC Notes</t>
  </si>
  <si>
    <t>PS Capacity Now (ML/d)</t>
  </si>
  <si>
    <t>PS Capacity Future (ML/d)</t>
  </si>
  <si>
    <t>Part of City Care Assessment</t>
  </si>
  <si>
    <t>Site Setting</t>
  </si>
  <si>
    <t xml:space="preserve">Delivery Constraints </t>
  </si>
  <si>
    <t>Standalone Building Required (Yes/No)</t>
  </si>
  <si>
    <t>Overall Site Constraints</t>
  </si>
  <si>
    <t>WW Connection On Site</t>
  </si>
  <si>
    <t>Vacuum Wastewater?</t>
  </si>
  <si>
    <t>Tree Removal Required</t>
  </si>
  <si>
    <t>Distance from metering chamber to point of 1st diversion (m)</t>
  </si>
  <si>
    <t>Pipe Diameter (mm)</t>
  </si>
  <si>
    <t>Mixer Required</t>
  </si>
  <si>
    <t xml:space="preserve">Eyewash Station Required </t>
  </si>
  <si>
    <t>Site Comments</t>
  </si>
  <si>
    <t>North West</t>
  </si>
  <si>
    <t>PS1078</t>
  </si>
  <si>
    <t>include</t>
  </si>
  <si>
    <t>submersible pumped into mains</t>
  </si>
  <si>
    <t>û</t>
  </si>
  <si>
    <t>n/a</t>
  </si>
  <si>
    <t>Urban</t>
  </si>
  <si>
    <t>None</t>
  </si>
  <si>
    <t>Yes</t>
  </si>
  <si>
    <t>No</t>
  </si>
  <si>
    <t>There is space on site for building expansion, good access 
Per Karn's comment on Thursday, this is "tight, landwise"</t>
  </si>
  <si>
    <t>Close for mixer</t>
  </si>
  <si>
    <t>PS1069</t>
  </si>
  <si>
    <t>Sufficient space for building expansion. Good site access.</t>
  </si>
  <si>
    <t>PS1070</t>
  </si>
  <si>
    <t>submersible + artesian/surface pumped into mains</t>
  </si>
  <si>
    <t>changes made to station to achieve higher max</t>
  </si>
  <si>
    <t>Minor</t>
  </si>
  <si>
    <t>Tight accessway, no turning circle present, reversing only. Building expansion will block access to site. New building required.</t>
  </si>
  <si>
    <t>PS1071</t>
  </si>
  <si>
    <t>Public space</t>
  </si>
  <si>
    <t>Far</t>
  </si>
  <si>
    <t xml:space="preserve">Located within public park, plenty of space, consider extra precaution due to public access. </t>
  </si>
  <si>
    <t>Complicated piping, check</t>
  </si>
  <si>
    <t>PS1072</t>
  </si>
  <si>
    <t>See note</t>
  </si>
  <si>
    <t>Space available on site. Building expansion constrained, will require detached building.</t>
  </si>
  <si>
    <t>Meter looks to be after a mains offtake. One bore goes straight to network and has a separate chlorine installation from the other two bores, slightly complicated for contact time. Therre is time before network but needs to be relocated prior to take off</t>
  </si>
  <si>
    <t>PS1073</t>
  </si>
  <si>
    <t>Tight accessway, sufficient space onsite adjacent to existing building for expansion.</t>
  </si>
  <si>
    <t>PS1074</t>
  </si>
  <si>
    <t>suction tank / surface pumped into mains</t>
  </si>
  <si>
    <t>160/160/130</t>
  </si>
  <si>
    <t>Expansion space present but not near existing building so new building required. Space near the back of site.</t>
  </si>
  <si>
    <t>PS1076</t>
  </si>
  <si>
    <t>140/140
250/250 future</t>
  </si>
  <si>
    <t>suction tank being constructed / pumps upgraded</t>
  </si>
  <si>
    <t xml:space="preserve">No </t>
  </si>
  <si>
    <t>Room for expansion on building. Small turning circle and narrow long access way</t>
  </si>
  <si>
    <t>PS1077</t>
  </si>
  <si>
    <t>work underway to renew wells</t>
  </si>
  <si>
    <t xml:space="preserve">Very small site. Will require removal of trees for additional building. Only room to drive in and back out of site off busy road. </t>
  </si>
  <si>
    <t>PS1080</t>
  </si>
  <si>
    <t>Commercial</t>
  </si>
  <si>
    <t>Large site, lots of scape, large area for turning etc.</t>
  </si>
  <si>
    <t>No meter present but close connection to roadside</t>
  </si>
  <si>
    <t>PS1125</t>
  </si>
  <si>
    <t>180/180</t>
  </si>
  <si>
    <t>Rural</t>
  </si>
  <si>
    <t>&gt;40</t>
  </si>
  <si>
    <t>assume 250 
(PE355)</t>
  </si>
  <si>
    <t>Large site, good delivery options, room for expansion</t>
  </si>
  <si>
    <t>Rawhiti</t>
  </si>
  <si>
    <t>PS1004</t>
  </si>
  <si>
    <t>artesian/surface pumped into mains</t>
  </si>
  <si>
    <t>169/169</t>
  </si>
  <si>
    <t>On Site</t>
  </si>
  <si>
    <t>200-300</t>
  </si>
  <si>
    <t>Good reversing back for delivery, potential room on site for building expansion</t>
  </si>
  <si>
    <t>PS1010</t>
  </si>
  <si>
    <t>225/225</t>
  </si>
  <si>
    <t>Small access only to the front of the building, new building expansion round the back, good space.</t>
  </si>
  <si>
    <t>PS1119</t>
  </si>
  <si>
    <t>180/200/200</t>
  </si>
  <si>
    <t>Cannot see meter</t>
  </si>
  <si>
    <t>Good access to site, should be space for building expansion, if not, plenty of room for new building.</t>
  </si>
  <si>
    <t>Cannot see meter but long distance to mains on road, safely say no mixer required.</t>
  </si>
  <si>
    <t>PS1023</t>
  </si>
  <si>
    <t>260/225</t>
  </si>
  <si>
    <t>Good delivery, constrained site with not much room for building expansion but should be sufficient for site expansion.</t>
  </si>
  <si>
    <t>division immediately upstream of meter but does not see consumer for over 30 m on diversions</t>
  </si>
  <si>
    <t>PS1008</t>
  </si>
  <si>
    <t>225/225=450</t>
  </si>
  <si>
    <t>High</t>
  </si>
  <si>
    <t>Very small site. No room for building or site expansion. Poor delivery access. Very constrained site.</t>
  </si>
  <si>
    <t>PS1012</t>
  </si>
  <si>
    <t>182/108=290</t>
  </si>
  <si>
    <t>West</t>
  </si>
  <si>
    <t>PS1109</t>
  </si>
  <si>
    <t>792/792 = 1584</t>
  </si>
  <si>
    <t>another pump as standby - well capacity used for PS max</t>
  </si>
  <si>
    <t>Good site. Plenty of space. Easy delivery. Lots of room for building expansion.</t>
  </si>
  <si>
    <t>Technically long pipelines after 1st diversion before consumers could mean no mixer but 2 no. analysers?</t>
  </si>
  <si>
    <t>PS1099</t>
  </si>
  <si>
    <t>900/900 = 1,800</t>
  </si>
  <si>
    <t>Semi-urban</t>
  </si>
  <si>
    <t xml:space="preserve">None </t>
  </si>
  <si>
    <t>Good space on site for building expansion. Slightly difficult access with long thin access road. No turning circle etc.</t>
  </si>
  <si>
    <t>PS1117</t>
  </si>
  <si>
    <t>400/780/780 = 1,960</t>
  </si>
  <si>
    <t>well capacity used for PS max - will be expanded in future</t>
  </si>
  <si>
    <t>Suitable space for site expansion but will be difficult for a building expansion potentially. Difficult access for chemical delivery.</t>
  </si>
  <si>
    <t>18 m post pumps but no sign of meter chmaber for dosing? Probably doesn’t need mixer check</t>
  </si>
  <si>
    <t>PS1102</t>
  </si>
  <si>
    <t>Slightly tight delivery circle, plenty of space for building expansion.</t>
  </si>
  <si>
    <t>Central</t>
  </si>
  <si>
    <t>PS1024</t>
  </si>
  <si>
    <t>225/450/500=1,175</t>
  </si>
  <si>
    <t xml:space="preserve">Cannot find </t>
  </si>
  <si>
    <t xml:space="preserve">Cannot see meter but long distance to mains on road, check </t>
  </si>
  <si>
    <t>PS1001</t>
  </si>
  <si>
    <t>Small site. Minimal delivery space for vehicles. Small area for building expansion which may be suitable. Difficult satellite imagery to tell how much space is available.</t>
  </si>
  <si>
    <t>PS1002</t>
  </si>
  <si>
    <t>230/230=460</t>
  </si>
  <si>
    <t>max PS capacity before becoming airlocked</t>
  </si>
  <si>
    <t>Good site. Plenty of space. Wide delivery access. Simple building expansion.</t>
  </si>
  <si>
    <t>PS1007</t>
  </si>
  <si>
    <t>1 of wells being developed</t>
  </si>
  <si>
    <t>Compact site. Suitable space for building expansion. Delivery is reverse in and back out.</t>
  </si>
  <si>
    <t>PS1014</t>
  </si>
  <si>
    <t>Small space approx. 12-14 m2 for building expansion. Separate building would be difficult on site if this doesn’t work. Delivery is minor constraint with little space.</t>
  </si>
  <si>
    <t>PS1016</t>
  </si>
  <si>
    <t>Very small site. Constrained for building expansion near current pump room. Small delivery bay present.</t>
  </si>
  <si>
    <t>PS1017</t>
  </si>
  <si>
    <t>Building expansion will be tight, there is space around site however. Could remove scrub to make space on building. Small delivery bay present</t>
  </si>
  <si>
    <t>PS1026</t>
  </si>
  <si>
    <t>3'rd well being developed</t>
  </si>
  <si>
    <t>Very constrained site. Small delivery access road. Building expansion very limited but some space elsewhere on site.</t>
  </si>
  <si>
    <t>PS1027</t>
  </si>
  <si>
    <t xml:space="preserve">Space around the side of the building for expansion. Construction is narrow corridor of space could be difficult. </t>
  </si>
  <si>
    <t>Cannot see meter but very close to roadsite and connections. Expeceted less than 5 metres so mixer</t>
  </si>
  <si>
    <t>PS1030</t>
  </si>
  <si>
    <t>2 wells being developed</t>
  </si>
  <si>
    <t>Delivery space on the smaller side. Plenty of space for building expansion etc.</t>
  </si>
  <si>
    <t>Cannot see meter but very close to roadsite and connections. Expeceted less than 6 metres so mixer</t>
  </si>
  <si>
    <t>PS1031</t>
  </si>
  <si>
    <t>suction tank being renewed</t>
  </si>
  <si>
    <t>Commercial site with plenty of space for both delivery and building expansion.</t>
  </si>
  <si>
    <t>PS1035</t>
  </si>
  <si>
    <t>&gt;50</t>
  </si>
  <si>
    <t xml:space="preserve">Site with plenty of space. Only constraint is very thin access road by past residential propoerties. </t>
  </si>
  <si>
    <t>Very long accessway before connection</t>
  </si>
  <si>
    <t>PS1037</t>
  </si>
  <si>
    <t>Thin access site passing residential properties. Any building expansion will block access to site unless trees etc are removed at the back of the site.</t>
  </si>
  <si>
    <t>Cannot see meter but minimum 30 m to main on road (not 1st diversion)</t>
  </si>
  <si>
    <t>PS1095</t>
  </si>
  <si>
    <t>&gt;50 (offsite)</t>
  </si>
  <si>
    <t>Small building, large site for expansion. Huge space for delivery.</t>
  </si>
  <si>
    <t>Site pipe to retic has no consumers till further down street so could be worth installating mixer incase new connections earlier in line.</t>
  </si>
  <si>
    <t>Riccarton</t>
  </si>
  <si>
    <t>PS1088</t>
  </si>
  <si>
    <t>220/220 +190 = 630</t>
  </si>
  <si>
    <t>Tight access with small turning circle near children playground. Space for building expansion with plenty of room.</t>
  </si>
  <si>
    <t>Note that we have sand filter post metering chamber</t>
  </si>
  <si>
    <t>PS1089</t>
  </si>
  <si>
    <t>Not sure where the current delivery is located. Minimal access on satelliate. Open site with extensive room for expansion as required.</t>
  </si>
  <si>
    <t>Not sure where dosing location is. Currently measured from M chmaber but Cl tank is closer to bore. If dosing is closer to bore, then no mixer required.</t>
  </si>
  <si>
    <t>Ferrymead</t>
  </si>
  <si>
    <t>PS1063</t>
  </si>
  <si>
    <t>225/450=675</t>
  </si>
  <si>
    <t>max PS capacity = well consent</t>
  </si>
  <si>
    <t>&lt;5</t>
  </si>
  <si>
    <t>There is space on site for building expansion and delivery is adjacent to the road curb.</t>
  </si>
  <si>
    <t>PS1065</t>
  </si>
  <si>
    <t>250/250/250=750</t>
  </si>
  <si>
    <t>There is a small section of small to the front of the building which is the only section available. Approx 10 m2 of space.</t>
  </si>
  <si>
    <t>Cannot see meter but very close to 1st diversion connections. Expeceted less than 5 metres so mixer</t>
  </si>
  <si>
    <t>PS1084</t>
  </si>
  <si>
    <t>220/220 = 440</t>
  </si>
  <si>
    <t xml:space="preserve">There is space on site for building expansion and delivery to the front of the building down reasonably tight access road. </t>
  </si>
  <si>
    <t>PS1085</t>
  </si>
  <si>
    <t>164/355/200 = 719</t>
  </si>
  <si>
    <t xml:space="preserve">There is space on site for building expansion and delivery down reasonably tight access road. </t>
  </si>
  <si>
    <t>PS1123</t>
  </si>
  <si>
    <t>200/200/200 = 600</t>
  </si>
  <si>
    <t>Good size site. Plenty of space for building expansion and delivery to site. No contraints.</t>
  </si>
  <si>
    <t xml:space="preserve">No meter on file but good distance to main on road. No mixer </t>
  </si>
  <si>
    <t>Kainga/Brooklands</t>
  </si>
  <si>
    <t>PS1066</t>
  </si>
  <si>
    <t>No issue with space or delivery to site. Good wide access and plnety of space to expand.</t>
  </si>
  <si>
    <t>PS1067</t>
  </si>
  <si>
    <t>&gt;30</t>
  </si>
  <si>
    <t>TP</t>
  </si>
  <si>
    <t>comprises two membrane skids with minimum capacity of 400 m3/day and maximum 2,100 m3/day.</t>
  </si>
  <si>
    <t>Cannot locate</t>
  </si>
  <si>
    <t>added per email from Michele McDonald</t>
  </si>
  <si>
    <t xml:space="preserve">Conceptual </t>
  </si>
  <si>
    <t>FLUORIDE DOSING</t>
  </si>
  <si>
    <t>Design Element</t>
  </si>
  <si>
    <t>Cost</t>
  </si>
  <si>
    <t>ProMinent 250L Chemical Tank</t>
  </si>
  <si>
    <t>1000 L Self-bunded Chemical Storage Tank</t>
  </si>
  <si>
    <t>Self bunded HDPE chemical storage tank</t>
  </si>
  <si>
    <t>CAD drawings for Chemical Tanks</t>
  </si>
  <si>
    <t>Chemical tank HSNO engineering</t>
  </si>
  <si>
    <t>Tank HSNO label</t>
  </si>
  <si>
    <t>Tank Accessories</t>
  </si>
  <si>
    <t>Ultrasnoic level switch</t>
  </si>
  <si>
    <t>Leak detection switch</t>
  </si>
  <si>
    <t>Dosing Skid</t>
  </si>
  <si>
    <t>Dosing cabinet 1600w 1950 h 600 d</t>
  </si>
  <si>
    <t>Day tank</t>
  </si>
  <si>
    <t>Day tank ultra sonic level transmitter</t>
  </si>
  <si>
    <t>Transfer pump - DFAa 14 L/hr 0.18 kW</t>
  </si>
  <si>
    <t>Gamma x dosing pump, 3.6L/HR16Bar, PVT Head, Bleed Valve no springs,running &amp; fault relay, 4-20mA input, 2m Control Cable</t>
  </si>
  <si>
    <t>Motorised valve</t>
  </si>
  <si>
    <t>Pulsation dampner</t>
  </si>
  <si>
    <t>SCH80 15mm PVC pipework and valves</t>
  </si>
  <si>
    <t>Pressure guage</t>
  </si>
  <si>
    <t>DN15 PVC SCH80</t>
  </si>
  <si>
    <t>Consumables</t>
  </si>
  <si>
    <t>Variables</t>
  </si>
  <si>
    <t>Assumptions</t>
  </si>
  <si>
    <t>Population Served</t>
  </si>
  <si>
    <t>10k-20k</t>
  </si>
  <si>
    <t>20k-30k</t>
  </si>
  <si>
    <t>50k-100k</t>
  </si>
  <si>
    <t>100k-150k</t>
  </si>
  <si>
    <t>Capacity (m3/day)</t>
  </si>
  <si>
    <t>300 L/d/p</t>
  </si>
  <si>
    <t>Equipment including Installation</t>
  </si>
  <si>
    <t>HAZOP</t>
  </si>
  <si>
    <t>Storage tank capacity (l)</t>
  </si>
  <si>
    <t>approx. cost for 1000 L tank</t>
  </si>
  <si>
    <t xml:space="preserve">Storage tank  </t>
  </si>
  <si>
    <t>30 days</t>
  </si>
  <si>
    <t>Day tank capacity</t>
  </si>
  <si>
    <t xml:space="preserve">Day tank  </t>
  </si>
  <si>
    <t>Dosing pump/pipework</t>
  </si>
  <si>
    <t>Flowmeter</t>
  </si>
  <si>
    <t>subtotal</t>
  </si>
  <si>
    <t>Installation and commissioning</t>
  </si>
  <si>
    <t>44-56% of capital</t>
  </si>
  <si>
    <t>Electrical and automation</t>
  </si>
  <si>
    <t>31-47% of capital</t>
  </si>
  <si>
    <t xml:space="preserve">Total  </t>
  </si>
  <si>
    <t>Exclusions</t>
  </si>
  <si>
    <t>Freight to site</t>
  </si>
  <si>
    <t>Civil works</t>
  </si>
  <si>
    <t>Building upgrades</t>
  </si>
  <si>
    <t>SCADA upgrade and integration</t>
  </si>
  <si>
    <t>On-line monitoring operational costs</t>
  </si>
  <si>
    <t>HFA supply</t>
  </si>
  <si>
    <t>HFA unloading system</t>
  </si>
  <si>
    <t>Operator costs</t>
  </si>
  <si>
    <t>Maintenance</t>
  </si>
  <si>
    <t>Injection point pipework</t>
  </si>
  <si>
    <t>Duty dosing pump only</t>
  </si>
  <si>
    <t xml:space="preserve">Ventilation </t>
  </si>
  <si>
    <t>Waste disposal</t>
  </si>
  <si>
    <t xml:space="preserve">Plant security </t>
  </si>
  <si>
    <t>Heating (HFA freezes at 0°C)</t>
  </si>
  <si>
    <t>HASNO compliance</t>
  </si>
  <si>
    <t>Power connection</t>
  </si>
  <si>
    <t>FLUORIDE ANALYSER</t>
  </si>
  <si>
    <t>Fluoride Analyser</t>
  </si>
  <si>
    <t>AMI ISE Universal for AC Operation</t>
  </si>
  <si>
    <t>SWAN Analytical</t>
  </si>
  <si>
    <t>Fluoride Sensor</t>
  </si>
  <si>
    <t>Sensor reference fluid with electrolyte</t>
  </si>
  <si>
    <t>Sensor Flow Delta (optional)</t>
  </si>
  <si>
    <t>AFM631 Sensor</t>
  </si>
  <si>
    <t>ABB</t>
  </si>
  <si>
    <t>Calibration standard level sensor</t>
  </si>
  <si>
    <t>SD storage</t>
  </si>
  <si>
    <t>Caliration certificate</t>
  </si>
  <si>
    <t>Reagent tray</t>
  </si>
  <si>
    <t>Annual maintenance kit</t>
  </si>
  <si>
    <t>CHEMICAL DELIVERY</t>
  </si>
  <si>
    <t>Chemical Delivery</t>
  </si>
  <si>
    <t>$/L (exc)</t>
  </si>
  <si>
    <t>Ixom</t>
  </si>
  <si>
    <t>Count of PS Name</t>
  </si>
  <si>
    <t>Column Labels</t>
  </si>
  <si>
    <t>Row Labels</t>
  </si>
  <si>
    <t>(blank)</t>
  </si>
  <si>
    <t>Grand Total</t>
  </si>
  <si>
    <t>85-300 m3/hr</t>
  </si>
  <si>
    <t>300-588 m3/hr</t>
  </si>
  <si>
    <t>666-1320 m3/hr</t>
  </si>
  <si>
    <t>Assessment of accessway and space for turning larger vehicles.</t>
  </si>
  <si>
    <t>On site, on road (either side), none</t>
  </si>
  <si>
    <t>Site Expansion Footprint Constrains</t>
  </si>
  <si>
    <t>New Building Required (Yes/No)</t>
  </si>
  <si>
    <t xml:space="preserve">SCADA Upgrade Requierd </t>
  </si>
  <si>
    <t>Constrained Site (Yes/No)</t>
  </si>
  <si>
    <t>Jacobs notes</t>
  </si>
  <si>
    <t>Auburn</t>
  </si>
  <si>
    <t>PS1068</t>
  </si>
  <si>
    <t>exclude - renewal</t>
  </si>
  <si>
    <t>140/140</t>
  </si>
  <si>
    <t>renewal planned for completion FY28</t>
  </si>
  <si>
    <t>On-road</t>
  </si>
  <si>
    <t>On-road (far)</t>
  </si>
  <si>
    <t>On road</t>
  </si>
  <si>
    <t>On road (far)</t>
  </si>
  <si>
    <t>On-site</t>
  </si>
  <si>
    <t>Ben Rarere PS</t>
  </si>
  <si>
    <t>PS1126</t>
  </si>
  <si>
    <t>exclude - future</t>
  </si>
  <si>
    <t>PS being constructed</t>
  </si>
  <si>
    <t>?</t>
  </si>
  <si>
    <t>??</t>
  </si>
  <si>
    <t>Averill</t>
  </si>
  <si>
    <t>PS1005</t>
  </si>
  <si>
    <t>renewal planned for completion FY26</t>
  </si>
  <si>
    <t>Kerrs</t>
  </si>
  <si>
    <t>PS1022</t>
  </si>
  <si>
    <t>renewal planned for completion FY27</t>
  </si>
  <si>
    <t>On site</t>
  </si>
  <si>
    <t xml:space="preserve"> </t>
  </si>
  <si>
    <t>Burwood</t>
  </si>
  <si>
    <t>PS1081</t>
  </si>
  <si>
    <t>exclude - remove</t>
  </si>
  <si>
    <t>45/95/275 = 415</t>
  </si>
  <si>
    <t>planning underway to decommision</t>
  </si>
  <si>
    <t>Mairehau</t>
  </si>
  <si>
    <t>PS1083</t>
  </si>
  <si>
    <t xml:space="preserve">On site </t>
  </si>
  <si>
    <t>TP?</t>
  </si>
  <si>
    <t>Duvauchelle WTP</t>
  </si>
  <si>
    <t>TP3505</t>
  </si>
  <si>
    <t>exclude</t>
  </si>
  <si>
    <t>not part of this assignment, but was part of the previous City Care assessment</t>
  </si>
  <si>
    <t>Total 20%</t>
  </si>
  <si>
    <t>m3/day</t>
  </si>
  <si>
    <t>cost</t>
  </si>
  <si>
    <t>HSNO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</si>
</sst>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quot;$&quot;#,##0_);[Red]\(&quot;$&quot;#,##0\)"/>
    <numFmt numFmtId="165" formatCode="_(&quot;$&quot;* #,##0.00_);_(&quot;$&quot;* \(#,##0.00\);_(&quot;$&quot;* &quot;-&quot;??_);_(@_)"/>
    <numFmt numFmtId="166" formatCode="_(* #,##0.00_);_(* \(#,##0.00\);_(* &quot;-&quot;??_);_(@_)"/>
    <numFmt numFmtId="167" formatCode="_(&quot;$&quot;* #,##0_);_(&quot;$&quot;* \(#,##0\);_(&quot;$&quot;* &quot;-&quot;??_);_(@_)"/>
    <numFmt numFmtId="168" formatCode="0.0%"/>
    <numFmt numFmtId="169" formatCode="_(* #,##0_);_(* \(#,##0\);_(* &quot;-&quot;??_);_(@_)"/>
    <numFmt numFmtId="170" formatCode="0.000"/>
    <numFmt numFmtId="171" formatCode="_(* #,##0.0_);_(* \(#,##0.0\);_(* &quot;-&quot;??_);_(@_)"/>
    <numFmt numFmtId="172" formatCode="0.0"/>
    <numFmt numFmtId="173" formatCode="#,##0.000000"/>
    <numFmt numFmtId="174" formatCode="_-[$$-1409]* #,##0.00_-;\-[$$-1409]* #,##0.00_-;_-[$$-1409]* &quot;-&quot;??_-;_-@_-"/>
    <numFmt numFmtId="175" formatCode="#,##0.0"/>
    <numFmt numFmtId="176" formatCode="&quot;$&quot;#,##0"/>
    <numFmt numFmtId="177" formatCode="&quot;$&quot;#,##0.00"/>
    <numFmt numFmtId="178" formatCode="_(&quot;$&quot;* #,##0.000_);_(&quot;$&quot;* \(#,##0.000\);_(&quot;$&quot;* &quot;-&quot;??_);_(@_)"/>
    <numFmt numFmtId="179" formatCode="_(&quot;$&quot;* #,##0.0000_);_(&quot;$&quot;* \(#,##0.0000\);_(&quot;$&quot;* &quot;-&quot;??_);_(@_)"/>
    <numFmt numFmtId="180" formatCode="_(&quot;$&quot;* #,##0.00000_);_(&quot;$&quot;* \(#,##0.00000\);_(&quot;$&quot;* &quot;-&quot;??_);_(@_)"/>
    <numFmt numFmtId="181" formatCode="_(&quot;$&quot;* #,##0_);_(&quot;$&quot;* \(#,##0\);_(&quot;$&quot;* &quot;-&quot;?_);_(@_)"/>
  </numFmts>
  <fonts count="4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theme="1"/>
      <name val="Wingdings"/>
      <charset val="2"/>
    </font>
    <font>
      <sz val="9"/>
      <color theme="1"/>
      <name val="Calibri"/>
      <family val="2"/>
      <scheme val="minor"/>
    </font>
    <font>
      <strike/>
      <sz val="10"/>
      <color theme="1"/>
      <name val="Calibri"/>
      <family val="2"/>
      <scheme val="minor"/>
    </font>
    <font>
      <strike/>
      <sz val="11"/>
      <color theme="1"/>
      <name val="Calibri"/>
      <family val="2"/>
      <scheme val="minor"/>
    </font>
    <font>
      <b/>
      <strike/>
      <sz val="11"/>
      <color theme="1"/>
      <name val="Calibri"/>
      <family val="2"/>
      <scheme val="minor"/>
    </font>
    <font>
      <strike/>
      <sz val="11"/>
      <color theme="1"/>
      <name val="Wingdings"/>
      <charset val="2"/>
    </font>
    <font>
      <strike/>
      <sz val="9"/>
      <color theme="1"/>
      <name val="Calibri"/>
      <family val="2"/>
      <scheme val="minor"/>
    </font>
    <font>
      <b/>
      <sz val="9"/>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i/>
      <sz val="10"/>
      <color theme="1"/>
      <name val="Jacobs Chronos"/>
      <family val="2"/>
    </font>
    <font>
      <b/>
      <sz val="10"/>
      <color theme="1"/>
      <name val="Jacobs Chronos"/>
      <family val="2"/>
    </font>
    <font>
      <sz val="10"/>
      <color theme="1"/>
      <name val="Jacobs Chronos"/>
      <family val="2"/>
    </font>
    <font>
      <b/>
      <i/>
      <sz val="10"/>
      <color theme="1"/>
      <name val="Jacobs Chronos"/>
      <family val="2"/>
    </font>
    <font>
      <b/>
      <u/>
      <sz val="11"/>
      <color theme="1"/>
      <name val="Calibri"/>
      <family val="2"/>
      <scheme val="minor"/>
    </font>
    <font>
      <sz val="9"/>
      <color theme="0"/>
      <name val="Calibri"/>
      <family val="2"/>
      <scheme val="minor"/>
    </font>
    <font>
      <b/>
      <u/>
      <sz val="14"/>
      <color theme="1"/>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8"/>
      <name val="Calibri"/>
      <family val="2"/>
      <scheme val="minor"/>
    </font>
    <font>
      <sz val="11"/>
      <color rgb="FF000000"/>
      <name val="Calibri"/>
      <family val="2"/>
    </font>
    <font>
      <b/>
      <sz val="11"/>
      <color theme="4"/>
      <name val="Calibri"/>
      <family val="2"/>
      <scheme val="minor"/>
    </font>
    <font>
      <sz val="10"/>
      <name val="Arial"/>
      <family val="2"/>
    </font>
    <font>
      <sz val="9"/>
      <name val="Jacobs Chronos"/>
      <family val="2"/>
    </font>
    <font>
      <b/>
      <sz val="9"/>
      <name val="Jacobs Chronos"/>
      <family val="2"/>
    </font>
    <font>
      <b/>
      <sz val="10"/>
      <color indexed="9"/>
      <name val="Jacobs Chronos"/>
      <family val="2"/>
    </font>
    <font>
      <sz val="10"/>
      <name val="Jacobs Chronos"/>
      <family val="2"/>
    </font>
    <font>
      <vertAlign val="superscript"/>
      <sz val="10"/>
      <name val="Jacobs Chronos"/>
      <family val="2"/>
    </font>
    <font>
      <sz val="9"/>
      <color rgb="FFFF0000"/>
      <name val="Jacobs Chronos"/>
      <family val="2"/>
    </font>
    <font>
      <b/>
      <u/>
      <sz val="16"/>
      <color theme="1"/>
      <name val="Calibri"/>
      <family val="2"/>
      <scheme val="minor"/>
    </font>
    <font>
      <b/>
      <sz val="16"/>
      <color theme="1"/>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49998474074526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bgColor indexed="64"/>
      </patternFill>
    </fill>
    <fill>
      <patternFill patternType="solid">
        <fgColor rgb="FF231EDC"/>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diagonal/>
    </border>
    <border>
      <left style="thin">
        <color rgb="FF231EDC"/>
      </left>
      <right/>
      <top style="thin">
        <color rgb="FF231EDC"/>
      </top>
      <bottom style="thin">
        <color rgb="FF231EDC"/>
      </bottom>
      <diagonal/>
    </border>
    <border>
      <left/>
      <right/>
      <top style="thin">
        <color rgb="FF231EDC"/>
      </top>
      <bottom style="thin">
        <color rgb="FF231EDC"/>
      </bottom>
      <diagonal/>
    </border>
    <border>
      <left/>
      <right style="thin">
        <color rgb="FF231EDC"/>
      </right>
      <top style="thin">
        <color rgb="FF231EDC"/>
      </top>
      <bottom style="thin">
        <color rgb="FF231EDC"/>
      </bottom>
      <diagonal/>
    </border>
    <border>
      <left style="thin">
        <color rgb="FF231EDC"/>
      </left>
      <right/>
      <top style="thin">
        <color rgb="FF231EDC"/>
      </top>
      <bottom/>
      <diagonal/>
    </border>
    <border>
      <left style="thin">
        <color rgb="FF231EDC"/>
      </left>
      <right/>
      <top style="thin">
        <color rgb="FF231EDC"/>
      </top>
      <bottom style="double">
        <color rgb="FF231EDC"/>
      </bottom>
      <diagonal/>
    </border>
    <border>
      <left/>
      <right style="thin">
        <color rgb="FF231EDC"/>
      </right>
      <top style="thin">
        <color rgb="FF231EDC"/>
      </top>
      <bottom style="double">
        <color rgb="FF231EDC"/>
      </bottom>
      <diagonal/>
    </border>
    <border>
      <left/>
      <right/>
      <top style="thin">
        <color rgb="FF231EDC"/>
      </top>
      <bottom style="double">
        <color rgb="FF231EDC"/>
      </bottom>
      <diagonal/>
    </border>
    <border>
      <left style="thin">
        <color rgb="FF231EDC"/>
      </left>
      <right/>
      <top style="double">
        <color rgb="FF231EDC"/>
      </top>
      <bottom style="thin">
        <color rgb="FF231EDC"/>
      </bottom>
      <diagonal/>
    </border>
    <border>
      <left/>
      <right/>
      <top style="double">
        <color rgb="FF231EDC"/>
      </top>
      <bottom style="thin">
        <color rgb="FF231EDC"/>
      </bottom>
      <diagonal/>
    </border>
    <border>
      <left/>
      <right style="thin">
        <color rgb="FF231EDC"/>
      </right>
      <top style="double">
        <color rgb="FF231EDC"/>
      </top>
      <bottom style="thin">
        <color rgb="FF231EDC"/>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rgb="FF231EDC"/>
      </right>
      <top style="thin">
        <color rgb="FF231EDC"/>
      </top>
      <bottom/>
      <diagonal/>
    </border>
    <border>
      <left/>
      <right/>
      <top style="thin">
        <color rgb="FF231EDC"/>
      </top>
      <bottom/>
      <diagonal/>
    </border>
  </borders>
  <cellStyleXfs count="6">
    <xf numFmtId="0" fontId="0"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3" fillId="0" borderId="0"/>
  </cellStyleXfs>
  <cellXfs count="471">
    <xf numFmtId="0" fontId="0" fillId="0" borderId="0" xfId="0"/>
    <xf numFmtId="0" fontId="0" fillId="0" borderId="0" xfId="0" applyAlignment="1">
      <alignment vertical="center"/>
    </xf>
    <xf numFmtId="3" fontId="0" fillId="0" borderId="1" xfId="0" applyNumberFormat="1" applyBorder="1"/>
    <xf numFmtId="0" fontId="5" fillId="0" borderId="1" xfId="0" applyFont="1" applyBorder="1" applyAlignment="1">
      <alignment horizontal="right" vertical="center"/>
    </xf>
    <xf numFmtId="0" fontId="6" fillId="0" borderId="1" xfId="0" applyFont="1" applyBorder="1" applyAlignment="1">
      <alignment horizontal="center"/>
    </xf>
    <xf numFmtId="0" fontId="3" fillId="3" borderId="1" xfId="0" applyFont="1" applyFill="1" applyBorder="1" applyAlignment="1">
      <alignment horizontal="center"/>
    </xf>
    <xf numFmtId="0" fontId="8" fillId="0" borderId="1" xfId="0" applyFont="1" applyBorder="1" applyAlignment="1">
      <alignment horizontal="right" vertical="center"/>
    </xf>
    <xf numFmtId="0" fontId="11" fillId="0" borderId="1" xfId="0" applyFont="1" applyBorder="1" applyAlignment="1">
      <alignment horizontal="center"/>
    </xf>
    <xf numFmtId="0" fontId="5" fillId="0" borderId="1" xfId="0" applyFont="1" applyBorder="1" applyAlignment="1">
      <alignment horizontal="right" vertical="center" wrapText="1"/>
    </xf>
    <xf numFmtId="4" fontId="2" fillId="2"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3" borderId="1" xfId="0" applyFill="1" applyBorder="1" applyAlignment="1">
      <alignment horizontal="center"/>
    </xf>
    <xf numFmtId="3" fontId="7" fillId="0" borderId="1" xfId="0" applyNumberFormat="1" applyFont="1" applyBorder="1"/>
    <xf numFmtId="3" fontId="7" fillId="0" borderId="1" xfId="0" applyNumberFormat="1" applyFont="1" applyBorder="1" applyAlignment="1">
      <alignment horizontal="center"/>
    </xf>
    <xf numFmtId="0" fontId="7" fillId="0" borderId="0" xfId="0" applyFont="1"/>
    <xf numFmtId="3" fontId="0" fillId="0" borderId="1" xfId="0" applyNumberFormat="1" applyBorder="1" applyAlignment="1">
      <alignment horizontal="center"/>
    </xf>
    <xf numFmtId="0" fontId="0" fillId="0" borderId="0" xfId="0" applyAlignment="1">
      <alignment horizontal="center"/>
    </xf>
    <xf numFmtId="0" fontId="0" fillId="0" borderId="1" xfId="0" applyBorder="1" applyAlignment="1">
      <alignment horizontal="center"/>
    </xf>
    <xf numFmtId="0" fontId="10" fillId="3" borderId="1" xfId="0" applyFont="1" applyFill="1"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xf>
    <xf numFmtId="3" fontId="12" fillId="0" borderId="1" xfId="0" quotePrefix="1" applyNumberFormat="1" applyFont="1" applyBorder="1" applyAlignment="1">
      <alignment horizontal="center"/>
    </xf>
    <xf numFmtId="3" fontId="7" fillId="0" borderId="1" xfId="0" quotePrefix="1" applyNumberFormat="1" applyFont="1" applyBorder="1" applyAlignment="1">
      <alignment horizontal="center"/>
    </xf>
    <xf numFmtId="3" fontId="7" fillId="0" borderId="1" xfId="0" quotePrefix="1" applyNumberFormat="1" applyFont="1" applyBorder="1" applyAlignment="1">
      <alignment horizontal="center" vertical="center" wrapText="1"/>
    </xf>
    <xf numFmtId="3" fontId="12" fillId="0" borderId="1" xfId="0" applyNumberFormat="1" applyFont="1" applyBorder="1"/>
    <xf numFmtId="3" fontId="7" fillId="0" borderId="1" xfId="0" applyNumberFormat="1" applyFont="1" applyBorder="1" applyAlignment="1">
      <alignment vertical="center"/>
    </xf>
    <xf numFmtId="3" fontId="9" fillId="0" borderId="1" xfId="0" applyNumberFormat="1" applyFont="1" applyBorder="1" applyAlignment="1">
      <alignment horizontal="center" vertical="center"/>
    </xf>
    <xf numFmtId="3" fontId="12" fillId="0" borderId="1" xfId="0" applyNumberFormat="1" applyFont="1" applyBorder="1" applyAlignment="1">
      <alignment vertical="center"/>
    </xf>
    <xf numFmtId="0" fontId="10" fillId="3" borderId="1" xfId="0" applyFont="1" applyFill="1" applyBorder="1" applyAlignment="1">
      <alignment horizontal="center" vertical="center"/>
    </xf>
    <xf numFmtId="0" fontId="9" fillId="0" borderId="0" xfId="0" applyFont="1" applyAlignment="1">
      <alignment vertical="center"/>
    </xf>
    <xf numFmtId="3" fontId="12" fillId="0" borderId="1" xfId="0" quotePrefix="1" applyNumberFormat="1" applyFont="1" applyBorder="1" applyAlignment="1">
      <alignment horizontal="center" vertical="center"/>
    </xf>
    <xf numFmtId="3" fontId="7" fillId="0" borderId="1" xfId="0" applyNumberFormat="1" applyFont="1" applyBorder="1" applyAlignment="1">
      <alignment horizontal="left" wrapText="1"/>
    </xf>
    <xf numFmtId="3" fontId="7" fillId="0" borderId="1" xfId="0" quotePrefix="1" applyNumberFormat="1" applyFont="1" applyBorder="1" applyAlignment="1">
      <alignment horizontal="center" vertical="center"/>
    </xf>
    <xf numFmtId="3" fontId="12" fillId="0" borderId="1" xfId="0" applyNumberFormat="1" applyFont="1" applyBorder="1" applyAlignment="1">
      <alignment horizont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5" fillId="0" borderId="1" xfId="0" applyFont="1" applyBorder="1" applyAlignment="1">
      <alignment horizontal="center" vertical="center" wrapText="1"/>
    </xf>
    <xf numFmtId="0" fontId="14" fillId="0" borderId="0" xfId="0" applyFont="1"/>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horizontal="center" wrapText="1"/>
    </xf>
    <xf numFmtId="3" fontId="7" fillId="0" borderId="1" xfId="0" applyNumberFormat="1" applyFont="1" applyBorder="1" applyAlignment="1">
      <alignment horizontal="center" wrapText="1"/>
    </xf>
    <xf numFmtId="3" fontId="7" fillId="0" borderId="1" xfId="0" applyNumberFormat="1" applyFont="1" applyBorder="1" applyAlignment="1">
      <alignment horizontal="left" vertical="center" wrapText="1"/>
    </xf>
    <xf numFmtId="0" fontId="5" fillId="4" borderId="1" xfId="0" applyFont="1" applyFill="1" applyBorder="1" applyAlignment="1">
      <alignment horizontal="right" vertical="center" wrapText="1"/>
    </xf>
    <xf numFmtId="3" fontId="0" fillId="4" borderId="1" xfId="0" applyNumberFormat="1" applyFill="1" applyBorder="1" applyAlignment="1">
      <alignment horizontal="center"/>
    </xf>
    <xf numFmtId="3" fontId="7" fillId="4" borderId="1" xfId="0" applyNumberFormat="1" applyFont="1" applyFill="1" applyBorder="1"/>
    <xf numFmtId="0" fontId="6" fillId="4" borderId="1" xfId="0" applyFont="1" applyFill="1" applyBorder="1" applyAlignment="1">
      <alignment horizontal="center" vertical="center"/>
    </xf>
    <xf numFmtId="3" fontId="7" fillId="4" borderId="1" xfId="0"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wrapText="1"/>
    </xf>
    <xf numFmtId="164" fontId="0" fillId="0" borderId="0" xfId="0" applyNumberFormat="1"/>
    <xf numFmtId="167" fontId="0" fillId="0" borderId="0" xfId="2" applyNumberFormat="1" applyFont="1"/>
    <xf numFmtId="0" fontId="3" fillId="0" borderId="0" xfId="0" applyFont="1"/>
    <xf numFmtId="0" fontId="4" fillId="0" borderId="1" xfId="0" applyFont="1" applyBorder="1" applyAlignment="1">
      <alignment horizontal="left" vertical="center" wrapText="1"/>
    </xf>
    <xf numFmtId="3" fontId="9" fillId="0" borderId="1" xfId="0" applyNumberFormat="1" applyFont="1" applyBorder="1" applyAlignment="1">
      <alignment horizontal="left"/>
    </xf>
    <xf numFmtId="3" fontId="9" fillId="0" borderId="1" xfId="0" applyNumberFormat="1" applyFont="1" applyBorder="1" applyAlignment="1">
      <alignment horizontal="left" vertical="center"/>
    </xf>
    <xf numFmtId="0" fontId="0" fillId="0" borderId="1" xfId="0" applyBorder="1"/>
    <xf numFmtId="0" fontId="7" fillId="0" borderId="1" xfId="0" applyFont="1" applyBorder="1"/>
    <xf numFmtId="0" fontId="7" fillId="0" borderId="1" xfId="0" applyFont="1" applyBorder="1" applyAlignment="1">
      <alignment horizontal="center"/>
    </xf>
    <xf numFmtId="0" fontId="7" fillId="0" borderId="1" xfId="0" applyFont="1" applyBorder="1" applyAlignment="1">
      <alignment horizontal="center" wrapText="1"/>
    </xf>
    <xf numFmtId="9" fontId="0" fillId="0" borderId="0" xfId="0" applyNumberFormat="1" applyAlignment="1">
      <alignment horizontal="center"/>
    </xf>
    <xf numFmtId="168" fontId="0" fillId="0" borderId="0" xfId="0" applyNumberFormat="1" applyAlignment="1">
      <alignment horizontal="center"/>
    </xf>
    <xf numFmtId="3" fontId="5" fillId="0" borderId="1" xfId="0" applyNumberFormat="1" applyFont="1" applyBorder="1" applyAlignment="1">
      <alignment horizontal="center" wrapText="1"/>
    </xf>
    <xf numFmtId="0" fontId="0" fillId="0" borderId="1" xfId="0" applyBorder="1" applyAlignment="1">
      <alignment horizontal="left" wrapText="1"/>
    </xf>
    <xf numFmtId="0" fontId="3" fillId="0" borderId="1" xfId="0" applyFont="1" applyBorder="1" applyAlignment="1">
      <alignment vertical="top"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xf>
    <xf numFmtId="0" fontId="17" fillId="0" borderId="1" xfId="0" applyFont="1" applyBorder="1" applyAlignment="1">
      <alignment vertical="top" wrapText="1"/>
    </xf>
    <xf numFmtId="0" fontId="0" fillId="0" borderId="0" xfId="0" applyAlignment="1">
      <alignment vertical="top" wrapText="1"/>
    </xf>
    <xf numFmtId="0" fontId="18" fillId="0" borderId="0" xfId="0" applyFont="1"/>
    <xf numFmtId="0" fontId="19" fillId="0" borderId="0" xfId="0" applyFont="1"/>
    <xf numFmtId="0" fontId="20" fillId="0" borderId="0" xfId="0" applyFont="1"/>
    <xf numFmtId="0" fontId="21" fillId="0" borderId="0" xfId="0" applyFont="1"/>
    <xf numFmtId="0" fontId="5" fillId="0" borderId="0" xfId="0" applyFont="1"/>
    <xf numFmtId="3" fontId="0" fillId="0" borderId="0" xfId="0" applyNumberFormat="1" applyAlignment="1">
      <alignment horizontal="center"/>
    </xf>
    <xf numFmtId="0" fontId="22" fillId="0" borderId="0" xfId="0" applyFont="1" applyAlignment="1">
      <alignment vertical="center"/>
    </xf>
    <xf numFmtId="0" fontId="17" fillId="0" borderId="1" xfId="0" applyFont="1" applyBorder="1" applyAlignment="1">
      <alignment vertical="top"/>
    </xf>
    <xf numFmtId="3" fontId="0" fillId="0" borderId="1" xfId="0" applyNumberFormat="1" applyBorder="1" applyAlignment="1">
      <alignment horizontal="left" vertical="center" wrapText="1"/>
    </xf>
    <xf numFmtId="3" fontId="21" fillId="0" borderId="1" xfId="0" applyNumberFormat="1" applyFont="1" applyBorder="1" applyAlignment="1">
      <alignment horizontal="center" vertical="center"/>
    </xf>
    <xf numFmtId="3" fontId="21" fillId="0" borderId="1" xfId="0" applyNumberFormat="1" applyFont="1" applyBorder="1" applyAlignment="1">
      <alignment horizontal="left" vertical="center" wrapText="1"/>
    </xf>
    <xf numFmtId="3" fontId="21" fillId="0" borderId="1"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0" fontId="16" fillId="6" borderId="0" xfId="0" applyFont="1" applyFill="1" applyAlignment="1">
      <alignment horizontal="center"/>
    </xf>
    <xf numFmtId="0" fontId="24" fillId="7" borderId="1" xfId="0" applyFont="1" applyFill="1" applyBorder="1" applyAlignment="1">
      <alignment horizontal="center" wrapText="1"/>
    </xf>
    <xf numFmtId="0" fontId="14" fillId="0" borderId="0" xfId="0" applyFont="1" applyAlignment="1">
      <alignment wrapText="1"/>
    </xf>
    <xf numFmtId="0" fontId="16" fillId="7" borderId="1" xfId="0" applyFont="1" applyFill="1" applyBorder="1" applyAlignment="1">
      <alignment wrapText="1"/>
    </xf>
    <xf numFmtId="0" fontId="16" fillId="7" borderId="1" xfId="0" applyFont="1" applyFill="1" applyBorder="1" applyAlignment="1">
      <alignment horizontal="center" wrapText="1"/>
    </xf>
    <xf numFmtId="0" fontId="24" fillId="7" borderId="1" xfId="0" applyFont="1" applyFill="1" applyBorder="1" applyAlignment="1">
      <alignment wrapText="1"/>
    </xf>
    <xf numFmtId="0" fontId="16" fillId="7" borderId="1" xfId="0" applyFont="1" applyFill="1" applyBorder="1" applyAlignment="1">
      <alignment horizontal="left" wrapText="1"/>
    </xf>
    <xf numFmtId="3" fontId="0" fillId="4" borderId="1" xfId="0" applyNumberFormat="1" applyFill="1" applyBorder="1"/>
    <xf numFmtId="3" fontId="21" fillId="4" borderId="1" xfId="0" applyNumberFormat="1" applyFont="1" applyFill="1" applyBorder="1" applyAlignment="1">
      <alignment horizontal="center" vertical="center"/>
    </xf>
    <xf numFmtId="3" fontId="0" fillId="4" borderId="1" xfId="0" applyNumberFormat="1" applyFill="1" applyBorder="1" applyAlignment="1">
      <alignment horizontal="center" vertical="center"/>
    </xf>
    <xf numFmtId="0" fontId="4" fillId="4" borderId="1" xfId="0" applyFont="1" applyFill="1" applyBorder="1" applyAlignment="1">
      <alignment horizontal="center" vertical="center" wrapText="1"/>
    </xf>
    <xf numFmtId="3" fontId="3" fillId="4" borderId="1" xfId="0" applyNumberFormat="1" applyFont="1" applyFill="1" applyBorder="1" applyAlignment="1">
      <alignment horizontal="left" vertical="center" wrapText="1"/>
    </xf>
    <xf numFmtId="173" fontId="21" fillId="0" borderId="1" xfId="0" applyNumberFormat="1" applyFont="1" applyBorder="1" applyAlignment="1">
      <alignment horizontal="center" vertical="center"/>
    </xf>
    <xf numFmtId="0" fontId="3" fillId="0" borderId="1" xfId="0" applyFont="1" applyBorder="1"/>
    <xf numFmtId="44" fontId="0" fillId="0" borderId="1" xfId="0" applyNumberFormat="1" applyBorder="1"/>
    <xf numFmtId="0" fontId="20" fillId="0" borderId="1" xfId="0" applyFont="1" applyBorder="1" applyAlignment="1">
      <alignment vertical="center"/>
    </xf>
    <xf numFmtId="44" fontId="21" fillId="0" borderId="1" xfId="0" applyNumberFormat="1" applyFont="1" applyBorder="1" applyAlignment="1">
      <alignment vertical="center"/>
    </xf>
    <xf numFmtId="1" fontId="0" fillId="0" borderId="1" xfId="0" applyNumberFormat="1" applyBorder="1"/>
    <xf numFmtId="44" fontId="0" fillId="0" borderId="1" xfId="0" applyNumberFormat="1" applyBorder="1" applyAlignment="1">
      <alignment vertical="center"/>
    </xf>
    <xf numFmtId="0" fontId="19" fillId="0" borderId="1" xfId="0" applyFont="1" applyBorder="1" applyAlignment="1">
      <alignment vertical="center"/>
    </xf>
    <xf numFmtId="0" fontId="19" fillId="0" borderId="1" xfId="0" applyFont="1" applyBorder="1"/>
    <xf numFmtId="44" fontId="21" fillId="0" borderId="1" xfId="0" applyNumberFormat="1" applyFont="1" applyBorder="1"/>
    <xf numFmtId="0" fontId="19" fillId="0" borderId="1" xfId="0" applyFont="1" applyBorder="1" applyAlignment="1">
      <alignment wrapText="1"/>
    </xf>
    <xf numFmtId="44" fontId="19" fillId="0" borderId="1" xfId="0" applyNumberFormat="1" applyFont="1" applyBorder="1"/>
    <xf numFmtId="44" fontId="18" fillId="0" borderId="1" xfId="0" applyNumberFormat="1" applyFont="1" applyBorder="1"/>
    <xf numFmtId="174" fontId="18" fillId="0" borderId="1" xfId="2" applyNumberFormat="1" applyFont="1" applyBorder="1"/>
    <xf numFmtId="175" fontId="0" fillId="0" borderId="1" xfId="0" applyNumberFormat="1" applyBorder="1" applyAlignment="1">
      <alignment horizontal="center" vertical="center"/>
    </xf>
    <xf numFmtId="3" fontId="21" fillId="8" borderId="1" xfId="0" applyNumberFormat="1" applyFont="1" applyFill="1" applyBorder="1" applyAlignment="1">
      <alignment horizontal="center" vertical="center"/>
    </xf>
    <xf numFmtId="3" fontId="21" fillId="8" borderId="1" xfId="0" applyNumberFormat="1" applyFont="1" applyFill="1" applyBorder="1" applyAlignment="1">
      <alignment horizontal="center" vertical="center" wrapText="1"/>
    </xf>
    <xf numFmtId="3" fontId="21" fillId="4" borderId="1" xfId="0" applyNumberFormat="1" applyFont="1" applyFill="1" applyBorder="1" applyAlignment="1">
      <alignment horizontal="left" vertical="center" wrapText="1"/>
    </xf>
    <xf numFmtId="3" fontId="21" fillId="0" borderId="0" xfId="0" applyNumberFormat="1" applyFont="1"/>
    <xf numFmtId="176" fontId="21" fillId="0" borderId="0" xfId="2" applyNumberFormat="1" applyFont="1"/>
    <xf numFmtId="176" fontId="21" fillId="0" borderId="0" xfId="0" applyNumberFormat="1" applyFont="1"/>
    <xf numFmtId="165" fontId="0" fillId="0" borderId="0" xfId="2" applyFont="1"/>
    <xf numFmtId="0" fontId="4" fillId="4"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4" borderId="5" xfId="0" applyFont="1" applyFill="1" applyBorder="1" applyAlignment="1">
      <alignment horizontal="center" vertical="center" wrapText="1"/>
    </xf>
    <xf numFmtId="0" fontId="0" fillId="0" borderId="7" xfId="0" applyBorder="1" applyAlignment="1">
      <alignment horizontal="center"/>
    </xf>
    <xf numFmtId="0" fontId="5" fillId="0" borderId="7" xfId="0" applyFont="1" applyBorder="1" applyAlignment="1">
      <alignment horizontal="right" vertical="center"/>
    </xf>
    <xf numFmtId="3" fontId="0" fillId="0" borderId="7" xfId="0" applyNumberFormat="1" applyBorder="1"/>
    <xf numFmtId="3" fontId="0" fillId="0" borderId="7" xfId="0" applyNumberFormat="1" applyBorder="1" applyAlignment="1">
      <alignment horizontal="center"/>
    </xf>
    <xf numFmtId="3" fontId="21" fillId="0" borderId="7"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16" fillId="7" borderId="6" xfId="0" applyFont="1" applyFill="1" applyBorder="1" applyAlignment="1">
      <alignment horizontal="center" vertical="center" wrapText="1"/>
    </xf>
    <xf numFmtId="0" fontId="4" fillId="0" borderId="11" xfId="0" applyFont="1" applyBorder="1" applyAlignment="1">
      <alignment horizontal="center" vertical="center" wrapText="1"/>
    </xf>
    <xf numFmtId="9" fontId="0" fillId="0" borderId="0" xfId="4" applyFont="1"/>
    <xf numFmtId="165" fontId="0" fillId="0" borderId="0" xfId="0" applyNumberFormat="1"/>
    <xf numFmtId="0" fontId="16" fillId="7" borderId="6" xfId="0" applyFont="1" applyFill="1" applyBorder="1" applyAlignment="1">
      <alignment wrapText="1"/>
    </xf>
    <xf numFmtId="0" fontId="24" fillId="7" borderId="6" xfId="0" applyFont="1" applyFill="1" applyBorder="1" applyAlignment="1">
      <alignment wrapText="1"/>
    </xf>
    <xf numFmtId="0" fontId="16" fillId="7" borderId="6" xfId="0" applyFont="1" applyFill="1" applyBorder="1" applyAlignment="1">
      <alignment horizontal="center" wrapText="1"/>
    </xf>
    <xf numFmtId="0" fontId="24" fillId="7" borderId="6" xfId="0" applyFont="1" applyFill="1" applyBorder="1" applyAlignment="1">
      <alignment horizontal="center" wrapText="1"/>
    </xf>
    <xf numFmtId="3" fontId="7" fillId="0" borderId="7" xfId="0" applyNumberFormat="1" applyFont="1" applyBorder="1"/>
    <xf numFmtId="0" fontId="6" fillId="0" borderId="7" xfId="0" applyFont="1" applyBorder="1" applyAlignment="1">
      <alignment horizontal="center"/>
    </xf>
    <xf numFmtId="3" fontId="7" fillId="0" borderId="7" xfId="0" applyNumberFormat="1" applyFont="1" applyBorder="1" applyAlignment="1">
      <alignment horizontal="center"/>
    </xf>
    <xf numFmtId="3" fontId="7" fillId="0" borderId="7" xfId="0" applyNumberFormat="1" applyFont="1" applyBorder="1" applyAlignment="1">
      <alignment horizontal="center" wrapText="1"/>
    </xf>
    <xf numFmtId="0" fontId="13" fillId="0" borderId="12" xfId="0" applyFont="1" applyBorder="1" applyAlignment="1">
      <alignment horizontal="center" vertical="center" wrapText="1"/>
    </xf>
    <xf numFmtId="0" fontId="21" fillId="9" borderId="0" xfId="0" applyFont="1" applyFill="1"/>
    <xf numFmtId="0" fontId="0" fillId="9" borderId="0" xfId="0" applyFill="1"/>
    <xf numFmtId="171" fontId="0" fillId="0" borderId="1" xfId="0" applyNumberFormat="1" applyBorder="1" applyAlignment="1">
      <alignment vertical="top"/>
    </xf>
    <xf numFmtId="2" fontId="0" fillId="0" borderId="0" xfId="0" applyNumberFormat="1"/>
    <xf numFmtId="1" fontId="0" fillId="0" borderId="0" xfId="0" applyNumberFormat="1"/>
    <xf numFmtId="176" fontId="20" fillId="0" borderId="0" xfId="2" applyNumberFormat="1" applyFont="1"/>
    <xf numFmtId="176" fontId="20" fillId="0" borderId="0" xfId="0" applyNumberFormat="1" applyFont="1"/>
    <xf numFmtId="9" fontId="21" fillId="0" borderId="0" xfId="4" applyFont="1"/>
    <xf numFmtId="177" fontId="0" fillId="0" borderId="0" xfId="0" applyNumberFormat="1"/>
    <xf numFmtId="0" fontId="3" fillId="0" borderId="0" xfId="0" applyFont="1" applyAlignment="1">
      <alignment wrapText="1"/>
    </xf>
    <xf numFmtId="165" fontId="0" fillId="0" borderId="0" xfId="2" applyFont="1" applyAlignment="1">
      <alignment wrapText="1"/>
    </xf>
    <xf numFmtId="0" fontId="0" fillId="0" borderId="2" xfId="0" applyBorder="1" applyAlignment="1">
      <alignment vertical="top"/>
    </xf>
    <xf numFmtId="0" fontId="0" fillId="0" borderId="6" xfId="0" applyBorder="1" applyAlignment="1">
      <alignment vertical="top" wrapText="1"/>
    </xf>
    <xf numFmtId="9" fontId="0" fillId="0" borderId="0" xfId="0" applyNumberFormat="1"/>
    <xf numFmtId="167" fontId="3" fillId="0" borderId="0" xfId="2" applyNumberFormat="1" applyFont="1"/>
    <xf numFmtId="165" fontId="3" fillId="0" borderId="0" xfId="2" applyFont="1" applyAlignment="1">
      <alignment wrapText="1"/>
    </xf>
    <xf numFmtId="0" fontId="0" fillId="0" borderId="0" xfId="0" applyAlignment="1">
      <alignment horizontal="left" indent="2"/>
    </xf>
    <xf numFmtId="0" fontId="0" fillId="0" borderId="0" xfId="0" applyAlignment="1">
      <alignment horizontal="left" indent="3"/>
    </xf>
    <xf numFmtId="167" fontId="0" fillId="0" borderId="0" xfId="0" applyNumberFormat="1"/>
    <xf numFmtId="167" fontId="3" fillId="0" borderId="0" xfId="0" applyNumberFormat="1" applyFont="1"/>
    <xf numFmtId="0" fontId="3" fillId="0" borderId="0" xfId="0" applyFont="1" applyAlignment="1">
      <alignment horizontal="left"/>
    </xf>
    <xf numFmtId="167" fontId="0" fillId="0" borderId="0" xfId="2" applyNumberFormat="1" applyFont="1" applyFill="1"/>
    <xf numFmtId="9" fontId="0" fillId="0" borderId="0" xfId="4" applyFont="1" applyAlignment="1">
      <alignment wrapText="1"/>
    </xf>
    <xf numFmtId="167" fontId="0" fillId="0" borderId="0" xfId="2" applyNumberFormat="1" applyFont="1" applyBorder="1"/>
    <xf numFmtId="165" fontId="0" fillId="0" borderId="0" xfId="2" applyFont="1" applyBorder="1" applyAlignment="1">
      <alignment wrapText="1"/>
    </xf>
    <xf numFmtId="0" fontId="0" fillId="0" borderId="14" xfId="0" applyBorder="1"/>
    <xf numFmtId="9" fontId="0" fillId="0" borderId="14" xfId="0" applyNumberFormat="1" applyBorder="1"/>
    <xf numFmtId="167" fontId="0" fillId="0" borderId="14" xfId="2" applyNumberFormat="1" applyFont="1" applyBorder="1"/>
    <xf numFmtId="165" fontId="0" fillId="0" borderId="14" xfId="2" applyFont="1" applyBorder="1" applyAlignment="1">
      <alignment wrapText="1"/>
    </xf>
    <xf numFmtId="0" fontId="0" fillId="0" borderId="14" xfId="0" applyBorder="1" applyAlignment="1">
      <alignment wrapText="1"/>
    </xf>
    <xf numFmtId="0" fontId="0" fillId="0" borderId="14" xfId="0" applyBorder="1" applyAlignment="1">
      <alignment horizontal="left" indent="3"/>
    </xf>
    <xf numFmtId="0" fontId="3" fillId="0" borderId="14" xfId="0" applyFont="1" applyBorder="1"/>
    <xf numFmtId="0" fontId="3" fillId="0" borderId="14" xfId="0" applyFont="1" applyBorder="1" applyAlignment="1">
      <alignment wrapText="1"/>
    </xf>
    <xf numFmtId="0" fontId="0" fillId="0" borderId="0" xfId="2" applyNumberFormat="1" applyFont="1"/>
    <xf numFmtId="165" fontId="1" fillId="0" borderId="0" xfId="2" applyFont="1" applyAlignment="1">
      <alignment wrapText="1"/>
    </xf>
    <xf numFmtId="165" fontId="3" fillId="0" borderId="0" xfId="2" applyFont="1"/>
    <xf numFmtId="0" fontId="0" fillId="0" borderId="15" xfId="0" applyBorder="1"/>
    <xf numFmtId="167" fontId="0" fillId="0" borderId="15" xfId="2" applyNumberFormat="1" applyFont="1" applyBorder="1"/>
    <xf numFmtId="0" fontId="0" fillId="0" borderId="15" xfId="0" applyBorder="1" applyAlignment="1">
      <alignment wrapText="1"/>
    </xf>
    <xf numFmtId="165" fontId="0" fillId="0" borderId="0" xfId="0" applyNumberFormat="1" applyAlignment="1">
      <alignment wrapText="1"/>
    </xf>
    <xf numFmtId="0" fontId="0" fillId="0" borderId="0" xfId="0" applyAlignment="1">
      <alignment horizontal="left" wrapText="1" indent="6"/>
    </xf>
    <xf numFmtId="0" fontId="0" fillId="0" borderId="0" xfId="0" applyAlignment="1">
      <alignment horizontal="left" vertical="top" wrapText="1" indent="6"/>
    </xf>
    <xf numFmtId="167" fontId="0" fillId="0" borderId="0" xfId="2" applyNumberFormat="1" applyFont="1" applyAlignment="1">
      <alignment wrapText="1"/>
    </xf>
    <xf numFmtId="0" fontId="4" fillId="0" borderId="0" xfId="0" applyFont="1" applyAlignment="1">
      <alignment horizontal="center" vertical="center" wrapText="1"/>
    </xf>
    <xf numFmtId="167" fontId="0" fillId="0" borderId="0" xfId="0" applyNumberFormat="1" applyAlignment="1">
      <alignment wrapText="1"/>
    </xf>
    <xf numFmtId="9" fontId="3" fillId="0" borderId="0" xfId="4" applyFont="1"/>
    <xf numFmtId="167" fontId="3" fillId="0" borderId="0" xfId="0" applyNumberFormat="1" applyFont="1" applyAlignment="1">
      <alignment wrapText="1"/>
    </xf>
    <xf numFmtId="9" fontId="3" fillId="0" borderId="0" xfId="4" applyFont="1" applyFill="1"/>
    <xf numFmtId="9" fontId="0" fillId="0" borderId="0" xfId="4" applyFont="1" applyFill="1"/>
    <xf numFmtId="0" fontId="0" fillId="10" borderId="0" xfId="0" applyFill="1"/>
    <xf numFmtId="0" fontId="0" fillId="10" borderId="0" xfId="0" applyFill="1" applyAlignment="1">
      <alignment horizontal="left" indent="3"/>
    </xf>
    <xf numFmtId="167" fontId="0" fillId="10" borderId="0" xfId="2" applyNumberFormat="1" applyFont="1" applyFill="1" applyBorder="1"/>
    <xf numFmtId="167" fontId="0" fillId="10" borderId="0" xfId="2" applyNumberFormat="1" applyFont="1" applyFill="1"/>
    <xf numFmtId="0" fontId="0" fillId="0" borderId="0" xfId="0" applyAlignment="1">
      <alignment horizontal="left" wrapText="1" indent="3"/>
    </xf>
    <xf numFmtId="167" fontId="3" fillId="0" borderId="0" xfId="2" applyNumberFormat="1" applyFont="1" applyFill="1"/>
    <xf numFmtId="165" fontId="0" fillId="0" borderId="0" xfId="2" applyFont="1" applyFill="1" applyAlignment="1">
      <alignment wrapText="1"/>
    </xf>
    <xf numFmtId="0" fontId="3" fillId="0" borderId="0" xfId="0" applyFont="1" applyAlignment="1">
      <alignment horizontal="left" indent="3"/>
    </xf>
    <xf numFmtId="167" fontId="0" fillId="0" borderId="14" xfId="2" applyNumberFormat="1" applyFont="1" applyFill="1" applyBorder="1"/>
    <xf numFmtId="167" fontId="0" fillId="0" borderId="0" xfId="2" applyNumberFormat="1" applyFont="1" applyFill="1" applyBorder="1"/>
    <xf numFmtId="167" fontId="0" fillId="10" borderId="14" xfId="2" applyNumberFormat="1" applyFont="1" applyFill="1" applyBorder="1"/>
    <xf numFmtId="0" fontId="0" fillId="10" borderId="14" xfId="0" applyFill="1" applyBorder="1" applyAlignment="1">
      <alignment horizontal="left" indent="3"/>
    </xf>
    <xf numFmtId="167" fontId="1" fillId="0" borderId="14" xfId="2" applyNumberFormat="1" applyFont="1" applyBorder="1"/>
    <xf numFmtId="9" fontId="0" fillId="10" borderId="0" xfId="4" applyFont="1" applyFill="1" applyBorder="1" applyAlignment="1">
      <alignment horizontal="left" indent="5"/>
    </xf>
    <xf numFmtId="9" fontId="0" fillId="10" borderId="14" xfId="4" applyFont="1" applyFill="1" applyBorder="1" applyAlignment="1">
      <alignment horizontal="left" indent="5"/>
    </xf>
    <xf numFmtId="0" fontId="0" fillId="10" borderId="0" xfId="0" applyFill="1" applyAlignment="1">
      <alignment horizontal="left" wrapText="1" indent="3"/>
    </xf>
    <xf numFmtId="9" fontId="0" fillId="10" borderId="0" xfId="4" applyFont="1" applyFill="1" applyBorder="1" applyAlignment="1">
      <alignment horizontal="left" wrapText="1" indent="5"/>
    </xf>
    <xf numFmtId="9" fontId="0" fillId="10" borderId="0" xfId="4" applyFont="1" applyFill="1" applyBorder="1" applyAlignment="1">
      <alignment horizontal="left" wrapText="1" indent="3"/>
    </xf>
    <xf numFmtId="0" fontId="18" fillId="0" borderId="0" xfId="0" applyFont="1" applyAlignment="1">
      <alignment wrapText="1"/>
    </xf>
    <xf numFmtId="165" fontId="0" fillId="10" borderId="0" xfId="2" applyFont="1" applyFill="1" applyBorder="1" applyAlignment="1">
      <alignment wrapText="1"/>
    </xf>
    <xf numFmtId="167" fontId="3" fillId="0" borderId="0" xfId="2" applyNumberFormat="1" applyFont="1" applyFill="1" applyAlignment="1">
      <alignment wrapText="1"/>
    </xf>
    <xf numFmtId="0" fontId="3" fillId="0" borderId="13" xfId="0" applyFont="1" applyBorder="1" applyAlignment="1">
      <alignmen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vertical="top" wrapText="1"/>
    </xf>
    <xf numFmtId="169" fontId="0" fillId="0" borderId="0" xfId="3" applyNumberFormat="1" applyFont="1" applyFill="1"/>
    <xf numFmtId="179" fontId="0" fillId="0" borderId="0" xfId="0" applyNumberFormat="1"/>
    <xf numFmtId="0" fontId="25" fillId="0" borderId="0" xfId="0" applyFont="1"/>
    <xf numFmtId="0" fontId="0" fillId="10" borderId="0" xfId="0" applyFill="1" applyAlignment="1">
      <alignment wrapText="1"/>
    </xf>
    <xf numFmtId="9" fontId="0" fillId="0" borderId="14" xfId="4" applyFont="1" applyBorder="1" applyAlignment="1">
      <alignment wrapText="1"/>
    </xf>
    <xf numFmtId="9" fontId="0" fillId="0" borderId="14" xfId="4" applyFont="1" applyBorder="1"/>
    <xf numFmtId="0" fontId="0" fillId="10" borderId="14" xfId="0" applyFill="1" applyBorder="1"/>
    <xf numFmtId="165" fontId="0" fillId="10" borderId="14" xfId="2" applyFont="1" applyFill="1" applyBorder="1" applyAlignment="1">
      <alignment wrapText="1"/>
    </xf>
    <xf numFmtId="0" fontId="0" fillId="10" borderId="14" xfId="0" applyFill="1" applyBorder="1" applyAlignment="1">
      <alignment wrapText="1"/>
    </xf>
    <xf numFmtId="167" fontId="0" fillId="0" borderId="16" xfId="2" applyNumberFormat="1" applyFont="1" applyBorder="1"/>
    <xf numFmtId="0" fontId="0" fillId="0" borderId="16" xfId="0" applyBorder="1"/>
    <xf numFmtId="165" fontId="0" fillId="0" borderId="16" xfId="2" applyFont="1" applyBorder="1" applyAlignment="1">
      <alignment wrapText="1"/>
    </xf>
    <xf numFmtId="0" fontId="0" fillId="0" borderId="16" xfId="0" applyBorder="1" applyAlignment="1">
      <alignment wrapText="1"/>
    </xf>
    <xf numFmtId="0" fontId="0" fillId="0" borderId="15" xfId="0" applyBorder="1" applyAlignment="1">
      <alignment horizontal="left" indent="3"/>
    </xf>
    <xf numFmtId="9" fontId="0" fillId="0" borderId="15" xfId="0" applyNumberFormat="1" applyBorder="1"/>
    <xf numFmtId="165" fontId="0" fillId="0" borderId="15" xfId="2" applyFont="1" applyBorder="1"/>
    <xf numFmtId="0" fontId="0" fillId="0" borderId="0" xfId="0" applyAlignment="1">
      <alignment horizontal="left" vertical="top" wrapText="1" indent="3"/>
    </xf>
    <xf numFmtId="0" fontId="18" fillId="0" borderId="0" xfId="0" applyFont="1" applyAlignment="1">
      <alignment horizontal="left" wrapText="1" indent="3"/>
    </xf>
    <xf numFmtId="167" fontId="3" fillId="0" borderId="0" xfId="2" applyNumberFormat="1" applyFont="1" applyAlignment="1">
      <alignment wrapText="1"/>
    </xf>
    <xf numFmtId="172" fontId="3" fillId="0" borderId="0" xfId="0" applyNumberFormat="1" applyFont="1" applyAlignment="1">
      <alignment wrapText="1"/>
    </xf>
    <xf numFmtId="172" fontId="0" fillId="0" borderId="0" xfId="0" applyNumberFormat="1" applyAlignment="1">
      <alignment wrapText="1"/>
    </xf>
    <xf numFmtId="1" fontId="0" fillId="0" borderId="0" xfId="2" applyNumberFormat="1" applyFont="1" applyFill="1"/>
    <xf numFmtId="0" fontId="3" fillId="0" borderId="0" xfId="0" applyFont="1" applyAlignment="1">
      <alignment horizontal="center"/>
    </xf>
    <xf numFmtId="2" fontId="0" fillId="0" borderId="0" xfId="0" applyNumberFormat="1" applyAlignment="1">
      <alignment wrapText="1"/>
    </xf>
    <xf numFmtId="1" fontId="3" fillId="0" borderId="0" xfId="0" applyNumberFormat="1" applyFont="1"/>
    <xf numFmtId="0" fontId="3" fillId="0" borderId="15" xfId="0" applyFont="1" applyBorder="1"/>
    <xf numFmtId="167" fontId="3" fillId="0" borderId="15" xfId="2" applyNumberFormat="1" applyFont="1" applyBorder="1"/>
    <xf numFmtId="165" fontId="3" fillId="0" borderId="15" xfId="2" applyFont="1" applyBorder="1" applyAlignment="1">
      <alignment wrapText="1"/>
    </xf>
    <xf numFmtId="0" fontId="3" fillId="0" borderId="15" xfId="0" applyFont="1" applyBorder="1" applyAlignment="1">
      <alignment wrapText="1"/>
    </xf>
    <xf numFmtId="169" fontId="0" fillId="0" borderId="0" xfId="3" applyNumberFormat="1" applyFont="1" applyFill="1" applyBorder="1"/>
    <xf numFmtId="0" fontId="3" fillId="0" borderId="17" xfId="0" applyFont="1" applyBorder="1" applyAlignment="1">
      <alignment horizontal="left" vertical="top" wrapText="1"/>
    </xf>
    <xf numFmtId="0" fontId="3" fillId="0" borderId="17" xfId="0" applyFont="1" applyBorder="1"/>
    <xf numFmtId="0" fontId="0" fillId="0" borderId="17" xfId="0" applyBorder="1"/>
    <xf numFmtId="167" fontId="3" fillId="0" borderId="17" xfId="0" applyNumberFormat="1" applyFont="1" applyBorder="1"/>
    <xf numFmtId="0" fontId="0" fillId="0" borderId="17" xfId="0" applyBorder="1" applyAlignment="1">
      <alignment wrapText="1"/>
    </xf>
    <xf numFmtId="0" fontId="0" fillId="0" borderId="14" xfId="0" applyBorder="1" applyAlignment="1">
      <alignment horizontal="left" vertical="top" wrapText="1" indent="6"/>
    </xf>
    <xf numFmtId="164" fontId="0" fillId="0" borderId="14" xfId="0" applyNumberFormat="1" applyBorder="1"/>
    <xf numFmtId="2" fontId="0" fillId="0" borderId="14" xfId="0" applyNumberFormat="1" applyBorder="1" applyAlignment="1">
      <alignment wrapText="1"/>
    </xf>
    <xf numFmtId="167" fontId="3" fillId="0" borderId="0" xfId="2" applyNumberFormat="1" applyFont="1" applyBorder="1" applyAlignment="1">
      <alignment wrapText="1"/>
    </xf>
    <xf numFmtId="0" fontId="26" fillId="11" borderId="19" xfId="0" applyFont="1" applyFill="1" applyBorder="1" applyAlignment="1">
      <alignment horizontal="center" vertical="center" wrapText="1" readingOrder="1"/>
    </xf>
    <xf numFmtId="0" fontId="26" fillId="11" borderId="20" xfId="0" applyFont="1" applyFill="1" applyBorder="1" applyAlignment="1">
      <alignment horizontal="center" vertical="center" wrapText="1" readingOrder="1"/>
    </xf>
    <xf numFmtId="0" fontId="27" fillId="0" borderId="18" xfId="0" applyFont="1" applyBorder="1" applyAlignment="1">
      <alignment horizontal="left" vertical="center" wrapText="1" indent="5" readingOrder="1"/>
    </xf>
    <xf numFmtId="0" fontId="27" fillId="0" borderId="18" xfId="0" applyFont="1" applyBorder="1" applyAlignment="1">
      <alignment horizontal="left" vertical="center" wrapText="1" indent="1" readingOrder="1"/>
    </xf>
    <xf numFmtId="0" fontId="27" fillId="0" borderId="21" xfId="0" applyFont="1" applyBorder="1" applyAlignment="1">
      <alignment vertical="center" wrapText="1" readingOrder="1"/>
    </xf>
    <xf numFmtId="0" fontId="27" fillId="0" borderId="22" xfId="0" applyFont="1" applyBorder="1" applyAlignment="1">
      <alignment horizontal="left" vertical="center" wrapText="1" indent="5" readingOrder="1"/>
    </xf>
    <xf numFmtId="0" fontId="27" fillId="0" borderId="22" xfId="0" applyFont="1" applyBorder="1" applyAlignment="1">
      <alignment horizontal="left" vertical="center" wrapText="1" indent="1" readingOrder="1"/>
    </xf>
    <xf numFmtId="0" fontId="28" fillId="0" borderId="25" xfId="0" applyFont="1" applyBorder="1" applyAlignment="1">
      <alignment horizontal="left" vertical="center" wrapText="1" indent="1" readingOrder="1"/>
    </xf>
    <xf numFmtId="9" fontId="27" fillId="0" borderId="19" xfId="0" applyNumberFormat="1" applyFont="1" applyBorder="1" applyAlignment="1">
      <alignment horizontal="center" vertical="center" wrapText="1" readingOrder="1"/>
    </xf>
    <xf numFmtId="9" fontId="27" fillId="0" borderId="24" xfId="0" applyNumberFormat="1" applyFont="1" applyBorder="1" applyAlignment="1">
      <alignment horizontal="center" vertical="center" wrapText="1" readingOrder="1"/>
    </xf>
    <xf numFmtId="0" fontId="17" fillId="0" borderId="26" xfId="0" applyFont="1" applyBorder="1" applyAlignment="1">
      <alignment horizontal="center" vertical="center" wrapText="1"/>
    </xf>
    <xf numFmtId="0" fontId="26" fillId="11" borderId="0" xfId="0" applyFont="1" applyFill="1" applyAlignment="1">
      <alignment horizontal="center" vertical="center" wrapText="1" readingOrder="1"/>
    </xf>
    <xf numFmtId="0" fontId="17" fillId="0" borderId="18" xfId="0" applyFont="1" applyBorder="1" applyAlignment="1">
      <alignment horizontal="left" vertical="center" wrapText="1" indent="5" readingOrder="1"/>
    </xf>
    <xf numFmtId="9" fontId="17" fillId="0" borderId="19" xfId="0" applyNumberFormat="1" applyFont="1" applyBorder="1" applyAlignment="1">
      <alignment horizontal="center" vertical="center" wrapText="1" readingOrder="1"/>
    </xf>
    <xf numFmtId="0" fontId="17" fillId="0" borderId="19" xfId="0" applyFont="1" applyBorder="1" applyAlignment="1">
      <alignment horizontal="center" vertical="center" wrapText="1" readingOrder="1"/>
    </xf>
    <xf numFmtId="0" fontId="17" fillId="0" borderId="22" xfId="0" applyFont="1" applyBorder="1" applyAlignment="1">
      <alignment horizontal="left" vertical="center" wrapText="1" indent="5" readingOrder="1"/>
    </xf>
    <xf numFmtId="0" fontId="17" fillId="0" borderId="24" xfId="0" applyFont="1" applyBorder="1" applyAlignment="1">
      <alignment horizontal="center" vertical="center" wrapText="1" readingOrder="1"/>
    </xf>
    <xf numFmtId="0" fontId="29" fillId="0" borderId="25" xfId="0" applyFont="1" applyBorder="1" applyAlignment="1">
      <alignment horizontal="left" vertical="center" wrapText="1" indent="1" readingOrder="1"/>
    </xf>
    <xf numFmtId="0" fontId="28" fillId="0" borderId="18" xfId="0" applyFont="1" applyBorder="1" applyAlignment="1">
      <alignment horizontal="left" vertical="center" wrapText="1" indent="1" readingOrder="1"/>
    </xf>
    <xf numFmtId="0" fontId="17" fillId="0" borderId="19" xfId="0" applyFont="1" applyBorder="1" applyAlignment="1">
      <alignment horizontal="center" vertical="center" wrapText="1"/>
    </xf>
    <xf numFmtId="164" fontId="29" fillId="0" borderId="20" xfId="0" applyNumberFormat="1" applyFont="1" applyBorder="1" applyAlignment="1">
      <alignment horizontal="right" vertical="center" wrapText="1" indent="5"/>
    </xf>
    <xf numFmtId="164" fontId="17" fillId="0" borderId="20" xfId="0" applyNumberFormat="1" applyFont="1" applyBorder="1" applyAlignment="1">
      <alignment horizontal="right" vertical="center" wrapText="1" indent="5"/>
    </xf>
    <xf numFmtId="176" fontId="17" fillId="0" borderId="23" xfId="2" applyNumberFormat="1" applyFont="1" applyBorder="1" applyAlignment="1">
      <alignment horizontal="right" vertical="center" wrapText="1" indent="5"/>
    </xf>
    <xf numFmtId="176" fontId="29" fillId="0" borderId="27" xfId="2" applyNumberFormat="1" applyFont="1" applyBorder="1" applyAlignment="1">
      <alignment horizontal="right" vertical="center" wrapText="1" indent="5"/>
    </xf>
    <xf numFmtId="164" fontId="28" fillId="0" borderId="19" xfId="0" applyNumberFormat="1" applyFont="1" applyBorder="1" applyAlignment="1">
      <alignment horizontal="right" vertical="center" wrapText="1" readingOrder="1"/>
    </xf>
    <xf numFmtId="164" fontId="27" fillId="0" borderId="19" xfId="0" applyNumberFormat="1" applyFont="1" applyBorder="1" applyAlignment="1">
      <alignment horizontal="right" vertical="center" wrapText="1" readingOrder="1"/>
    </xf>
    <xf numFmtId="164" fontId="27" fillId="0" borderId="24" xfId="0" applyNumberFormat="1" applyFont="1" applyBorder="1" applyAlignment="1">
      <alignment horizontal="right" vertical="center" wrapText="1" readingOrder="1"/>
    </xf>
    <xf numFmtId="164" fontId="28" fillId="0" borderId="26" xfId="0" applyNumberFormat="1" applyFont="1" applyBorder="1" applyAlignment="1">
      <alignment horizontal="right" vertical="center" wrapText="1" readingOrder="1"/>
    </xf>
    <xf numFmtId="164" fontId="17" fillId="0" borderId="20" xfId="0" applyNumberFormat="1" applyFont="1" applyBorder="1" applyAlignment="1">
      <alignment horizontal="right" vertical="center" wrapText="1" readingOrder="1"/>
    </xf>
    <xf numFmtId="164" fontId="17" fillId="0" borderId="23" xfId="0" applyNumberFormat="1" applyFont="1" applyBorder="1" applyAlignment="1">
      <alignment horizontal="right" vertical="center" wrapText="1" readingOrder="1"/>
    </xf>
    <xf numFmtId="164" fontId="29" fillId="0" borderId="27" xfId="0" applyNumberFormat="1" applyFont="1" applyBorder="1" applyAlignment="1">
      <alignment horizontal="right" vertical="center" wrapText="1" readingOrder="1"/>
    </xf>
    <xf numFmtId="164" fontId="27" fillId="0" borderId="20" xfId="0" applyNumberFormat="1" applyFont="1" applyBorder="1" applyAlignment="1">
      <alignment horizontal="right" vertical="center" wrapText="1" readingOrder="1"/>
    </xf>
    <xf numFmtId="164" fontId="27" fillId="0" borderId="23" xfId="0" applyNumberFormat="1" applyFont="1" applyBorder="1" applyAlignment="1">
      <alignment horizontal="right" vertical="center" wrapText="1" readingOrder="1"/>
    </xf>
    <xf numFmtId="164" fontId="28" fillId="0" borderId="27" xfId="0" applyNumberFormat="1" applyFont="1" applyBorder="1" applyAlignment="1">
      <alignment horizontal="right" vertical="center" wrapText="1" readingOrder="1"/>
    </xf>
    <xf numFmtId="0" fontId="3" fillId="0" borderId="1" xfId="0" applyFont="1" applyBorder="1" applyAlignment="1">
      <alignment textRotation="45" wrapText="1"/>
    </xf>
    <xf numFmtId="0" fontId="3" fillId="0" borderId="1" xfId="0" applyFont="1" applyBorder="1" applyAlignment="1">
      <alignment wrapText="1"/>
    </xf>
    <xf numFmtId="0" fontId="0" fillId="12" borderId="1" xfId="0" applyFill="1" applyBorder="1" applyAlignment="1">
      <alignment horizontal="left" wrapText="1" indent="3"/>
    </xf>
    <xf numFmtId="0" fontId="0" fillId="12" borderId="1" xfId="0" applyFill="1" applyBorder="1" applyAlignment="1">
      <alignment wrapText="1"/>
    </xf>
    <xf numFmtId="0" fontId="3" fillId="9" borderId="1" xfId="0" applyFont="1" applyFill="1" applyBorder="1" applyAlignment="1">
      <alignment wrapText="1"/>
    </xf>
    <xf numFmtId="0" fontId="0" fillId="9" borderId="1" xfId="0" applyFill="1" applyBorder="1" applyAlignment="1">
      <alignment horizontal="left" wrapText="1" indent="3"/>
    </xf>
    <xf numFmtId="0" fontId="0" fillId="9" borderId="1" xfId="0" applyFill="1" applyBorder="1" applyAlignment="1">
      <alignment wrapText="1"/>
    </xf>
    <xf numFmtId="0" fontId="0" fillId="0" borderId="1" xfId="0" quotePrefix="1" applyBorder="1" applyAlignment="1">
      <alignment wrapText="1"/>
    </xf>
    <xf numFmtId="0" fontId="0" fillId="9" borderId="1" xfId="0" quotePrefix="1" applyFill="1" applyBorder="1" applyAlignment="1">
      <alignment wrapText="1"/>
    </xf>
    <xf numFmtId="17" fontId="0" fillId="0" borderId="1" xfId="0" quotePrefix="1" applyNumberFormat="1" applyBorder="1" applyAlignment="1">
      <alignment wrapText="1"/>
    </xf>
    <xf numFmtId="17" fontId="0" fillId="9" borderId="1" xfId="0" quotePrefix="1" applyNumberFormat="1" applyFill="1" applyBorder="1" applyAlignment="1">
      <alignment wrapText="1"/>
    </xf>
    <xf numFmtId="0" fontId="3" fillId="13" borderId="1" xfId="0" applyFont="1" applyFill="1" applyBorder="1" applyAlignment="1">
      <alignment wrapText="1"/>
    </xf>
    <xf numFmtId="0" fontId="0" fillId="13" borderId="1" xfId="0" applyFill="1" applyBorder="1" applyAlignment="1">
      <alignment horizontal="left" wrapText="1" indent="3"/>
    </xf>
    <xf numFmtId="0" fontId="0" fillId="13" borderId="1" xfId="0" applyFill="1" applyBorder="1"/>
    <xf numFmtId="17" fontId="0" fillId="13" borderId="1" xfId="0" applyNumberFormat="1" applyFill="1" applyBorder="1"/>
    <xf numFmtId="17" fontId="0" fillId="0" borderId="1" xfId="0" applyNumberFormat="1" applyBorder="1"/>
    <xf numFmtId="0" fontId="0" fillId="13" borderId="1" xfId="0" applyFill="1" applyBorder="1" applyAlignment="1">
      <alignment wrapText="1"/>
    </xf>
    <xf numFmtId="0" fontId="0" fillId="0" borderId="1" xfId="0" applyBorder="1" applyAlignment="1">
      <alignment horizontal="left" wrapText="1" indent="3"/>
    </xf>
    <xf numFmtId="0" fontId="3" fillId="14" borderId="1" xfId="0" applyFont="1" applyFill="1" applyBorder="1" applyAlignment="1">
      <alignment wrapText="1"/>
    </xf>
    <xf numFmtId="0" fontId="0" fillId="14" borderId="1" xfId="0" applyFill="1" applyBorder="1" applyAlignment="1">
      <alignment horizontal="left" wrapText="1" indent="3"/>
    </xf>
    <xf numFmtId="0" fontId="0" fillId="14" borderId="1" xfId="0" applyFill="1" applyBorder="1"/>
    <xf numFmtId="17" fontId="0" fillId="14" borderId="1" xfId="0" applyNumberFormat="1" applyFill="1" applyBorder="1"/>
    <xf numFmtId="0" fontId="0" fillId="14" borderId="1" xfId="0" applyFill="1" applyBorder="1" applyAlignment="1">
      <alignment wrapText="1"/>
    </xf>
    <xf numFmtId="0" fontId="31" fillId="0" borderId="1" xfId="0" applyFont="1" applyBorder="1" applyAlignment="1">
      <alignment vertical="center"/>
    </xf>
    <xf numFmtId="167" fontId="27" fillId="0" borderId="18" xfId="0" applyNumberFormat="1" applyFont="1" applyBorder="1" applyAlignment="1">
      <alignment horizontal="left" vertical="center" wrapText="1" readingOrder="1"/>
    </xf>
    <xf numFmtId="167" fontId="28" fillId="0" borderId="18" xfId="2" applyNumberFormat="1" applyFont="1" applyBorder="1" applyAlignment="1">
      <alignment horizontal="left" vertical="center" wrapText="1" readingOrder="1"/>
    </xf>
    <xf numFmtId="167" fontId="28" fillId="0" borderId="18" xfId="0" applyNumberFormat="1" applyFont="1" applyBorder="1" applyAlignment="1">
      <alignment horizontal="left" vertical="center" wrapText="1" readingOrder="1"/>
    </xf>
    <xf numFmtId="166" fontId="0" fillId="0" borderId="0" xfId="0" applyNumberFormat="1"/>
    <xf numFmtId="1" fontId="0" fillId="13" borderId="0" xfId="0" applyNumberFormat="1" applyFill="1"/>
    <xf numFmtId="9" fontId="0" fillId="13" borderId="14" xfId="0" applyNumberFormat="1" applyFill="1" applyBorder="1"/>
    <xf numFmtId="0" fontId="3" fillId="13" borderId="0" xfId="0" applyFont="1" applyFill="1"/>
    <xf numFmtId="9" fontId="0" fillId="13" borderId="0" xfId="0" applyNumberFormat="1" applyFill="1"/>
    <xf numFmtId="0" fontId="0" fillId="13" borderId="14" xfId="0" applyFill="1" applyBorder="1" applyAlignment="1">
      <alignment horizontal="left" indent="3"/>
    </xf>
    <xf numFmtId="0" fontId="0" fillId="13" borderId="0" xfId="0" applyFill="1" applyAlignment="1">
      <alignment horizontal="left" indent="3"/>
    </xf>
    <xf numFmtId="0" fontId="0" fillId="13" borderId="0" xfId="0" applyFill="1" applyAlignment="1">
      <alignment wrapText="1"/>
    </xf>
    <xf numFmtId="180" fontId="0" fillId="0" borderId="0" xfId="0" applyNumberFormat="1"/>
    <xf numFmtId="178" fontId="0" fillId="0" borderId="0" xfId="0" applyNumberFormat="1"/>
    <xf numFmtId="165" fontId="0" fillId="13" borderId="0" xfId="2" applyFont="1" applyFill="1" applyAlignment="1">
      <alignment wrapText="1"/>
    </xf>
    <xf numFmtId="165" fontId="0" fillId="13" borderId="0" xfId="2" applyFont="1" applyFill="1" applyBorder="1" applyAlignment="1">
      <alignment wrapText="1"/>
    </xf>
    <xf numFmtId="0" fontId="0" fillId="13" borderId="0" xfId="0" applyFill="1" applyAlignment="1">
      <alignment horizontal="left" wrapText="1" indent="3"/>
    </xf>
    <xf numFmtId="165" fontId="0" fillId="0" borderId="0" xfId="2" applyFont="1" applyBorder="1"/>
    <xf numFmtId="165" fontId="3" fillId="0" borderId="0" xfId="2" applyFont="1" applyBorder="1"/>
    <xf numFmtId="167" fontId="1" fillId="0" borderId="15" xfId="2" applyNumberFormat="1" applyFont="1" applyFill="1" applyBorder="1"/>
    <xf numFmtId="165" fontId="0" fillId="13" borderId="15" xfId="2" applyFont="1" applyFill="1" applyBorder="1" applyAlignment="1">
      <alignment wrapText="1"/>
    </xf>
    <xf numFmtId="9" fontId="0" fillId="0" borderId="14" xfId="4" applyFont="1" applyFill="1" applyBorder="1"/>
    <xf numFmtId="0" fontId="0" fillId="13" borderId="14" xfId="0" applyFill="1" applyBorder="1" applyAlignment="1">
      <alignment wrapText="1"/>
    </xf>
    <xf numFmtId="167" fontId="0" fillId="13" borderId="14" xfId="2" applyNumberFormat="1" applyFont="1" applyFill="1" applyBorder="1"/>
    <xf numFmtId="0" fontId="0" fillId="10" borderId="14" xfId="0" applyFill="1" applyBorder="1" applyAlignment="1">
      <alignment horizontal="left" wrapText="1" indent="3"/>
    </xf>
    <xf numFmtId="0" fontId="0" fillId="13" borderId="0" xfId="0" applyFill="1"/>
    <xf numFmtId="0" fontId="0" fillId="13" borderId="0" xfId="0" applyFill="1" applyAlignment="1">
      <alignment horizontal="left" vertical="top" wrapText="1" indent="3"/>
    </xf>
    <xf numFmtId="167" fontId="0" fillId="0" borderId="0" xfId="2" applyNumberFormat="1" applyFont="1" applyFill="1" applyAlignment="1">
      <alignment wrapText="1"/>
    </xf>
    <xf numFmtId="172" fontId="0" fillId="0" borderId="0" xfId="0" applyNumberFormat="1"/>
    <xf numFmtId="0" fontId="0" fillId="0" borderId="0" xfId="2" applyNumberFormat="1" applyFont="1" applyFill="1"/>
    <xf numFmtId="9" fontId="0" fillId="0" borderId="0" xfId="4" applyFont="1" applyFill="1" applyAlignment="1">
      <alignment wrapText="1"/>
    </xf>
    <xf numFmtId="0" fontId="17" fillId="0" borderId="0" xfId="0" applyFont="1"/>
    <xf numFmtId="0" fontId="29" fillId="0" borderId="1" xfId="0" applyFont="1" applyBorder="1" applyAlignment="1">
      <alignment horizontal="left" wrapText="1"/>
    </xf>
    <xf numFmtId="0" fontId="29" fillId="0" borderId="1" xfId="0" applyFont="1" applyBorder="1"/>
    <xf numFmtId="1" fontId="17" fillId="0" borderId="1" xfId="0" applyNumberFormat="1" applyFont="1" applyBorder="1" applyAlignment="1">
      <alignment horizontal="right"/>
    </xf>
    <xf numFmtId="0" fontId="17" fillId="0" borderId="1" xfId="0" applyFont="1" applyBorder="1" applyAlignment="1">
      <alignment horizontal="centerContinuous" wrapText="1"/>
    </xf>
    <xf numFmtId="0" fontId="17" fillId="0" borderId="1" xfId="0" applyFont="1" applyBorder="1"/>
    <xf numFmtId="168" fontId="17" fillId="0" borderId="1" xfId="4" applyNumberFormat="1" applyFont="1" applyFill="1" applyBorder="1" applyAlignment="1"/>
    <xf numFmtId="168" fontId="29" fillId="0" borderId="1" xfId="4" applyNumberFormat="1" applyFont="1" applyFill="1" applyBorder="1" applyAlignment="1"/>
    <xf numFmtId="0" fontId="29" fillId="0" borderId="1" xfId="0" applyFont="1" applyBorder="1" applyAlignment="1">
      <alignment wrapText="1"/>
    </xf>
    <xf numFmtId="9" fontId="0" fillId="0" borderId="0" xfId="4" applyFont="1" applyFill="1" applyBorder="1"/>
    <xf numFmtId="181" fontId="0" fillId="0" borderId="0" xfId="0" applyNumberFormat="1" applyAlignment="1">
      <alignment wrapText="1"/>
    </xf>
    <xf numFmtId="9" fontId="3" fillId="0" borderId="0" xfId="4" applyFont="1" applyAlignment="1">
      <alignment wrapText="1"/>
    </xf>
    <xf numFmtId="9" fontId="0" fillId="0" borderId="0" xfId="4" applyFont="1" applyFill="1" applyBorder="1" applyAlignment="1">
      <alignment wrapText="1"/>
    </xf>
    <xf numFmtId="9" fontId="3" fillId="0" borderId="0" xfId="0" applyNumberFormat="1" applyFont="1"/>
    <xf numFmtId="167" fontId="0" fillId="0" borderId="14" xfId="0" applyNumberFormat="1" applyBorder="1" applyAlignment="1">
      <alignment wrapText="1"/>
    </xf>
    <xf numFmtId="0" fontId="0" fillId="13" borderId="15" xfId="0" applyFill="1" applyBorder="1" applyAlignment="1">
      <alignment wrapText="1"/>
    </xf>
    <xf numFmtId="0" fontId="32" fillId="0" borderId="0" xfId="0" applyFont="1"/>
    <xf numFmtId="14" fontId="0" fillId="0" borderId="0" xfId="0" applyNumberFormat="1"/>
    <xf numFmtId="0" fontId="34" fillId="0" borderId="0" xfId="5" applyFont="1" applyAlignment="1">
      <alignment horizontal="left" vertical="center"/>
    </xf>
    <xf numFmtId="0" fontId="35" fillId="0" borderId="0" xfId="5" applyFont="1" applyAlignment="1">
      <alignment horizontal="left" vertical="center"/>
    </xf>
    <xf numFmtId="0" fontId="34" fillId="0" borderId="0" xfId="5" applyFont="1" applyAlignment="1">
      <alignment wrapText="1"/>
    </xf>
    <xf numFmtId="0" fontId="34" fillId="0" borderId="0" xfId="5" applyFont="1" applyAlignment="1">
      <alignment vertical="center"/>
    </xf>
    <xf numFmtId="0" fontId="34" fillId="0" borderId="0" xfId="5" applyFont="1"/>
    <xf numFmtId="0" fontId="35" fillId="0" borderId="0" xfId="5" applyFont="1" applyAlignment="1">
      <alignment horizontal="left" vertical="center" wrapText="1"/>
    </xf>
    <xf numFmtId="0" fontId="34" fillId="0" borderId="0" xfId="5" applyFont="1" applyAlignment="1">
      <alignment vertical="center" wrapText="1"/>
    </xf>
    <xf numFmtId="0" fontId="34" fillId="0" borderId="14" xfId="5" applyFont="1" applyBorder="1" applyAlignment="1">
      <alignment horizontal="left" vertical="center"/>
    </xf>
    <xf numFmtId="0" fontId="35" fillId="0" borderId="14" xfId="5" applyFont="1" applyBorder="1" applyAlignment="1">
      <alignment horizontal="left" vertical="center"/>
    </xf>
    <xf numFmtId="0" fontId="35" fillId="0" borderId="0" xfId="5" applyFont="1" applyAlignment="1">
      <alignment horizontal="left"/>
    </xf>
    <xf numFmtId="0" fontId="34" fillId="0" borderId="14" xfId="5" applyFont="1" applyBorder="1" applyAlignment="1">
      <alignment wrapText="1"/>
    </xf>
    <xf numFmtId="0" fontId="34" fillId="0" borderId="14" xfId="5" applyFont="1" applyBorder="1" applyAlignment="1">
      <alignment vertical="center"/>
    </xf>
    <xf numFmtId="15" fontId="34" fillId="0" borderId="0" xfId="5" quotePrefix="1" applyNumberFormat="1" applyFont="1" applyAlignment="1">
      <alignment horizontal="left" wrapText="1"/>
    </xf>
    <xf numFmtId="15" fontId="34" fillId="0" borderId="0" xfId="5" quotePrefix="1" applyNumberFormat="1" applyFont="1" applyAlignment="1">
      <alignment wrapText="1"/>
    </xf>
    <xf numFmtId="0" fontId="34" fillId="0" borderId="0" xfId="5" applyFont="1" applyAlignment="1">
      <alignment horizontal="right" wrapText="1"/>
    </xf>
    <xf numFmtId="0" fontId="36" fillId="15" borderId="1" xfId="5" applyFont="1" applyFill="1" applyBorder="1" applyAlignment="1">
      <alignment horizontal="left" vertical="center" textRotation="90" wrapText="1"/>
    </xf>
    <xf numFmtId="0" fontId="36" fillId="15" borderId="1" xfId="5" applyFont="1" applyFill="1" applyBorder="1" applyAlignment="1">
      <alignment horizontal="center" vertical="center" textRotation="90" wrapText="1"/>
    </xf>
    <xf numFmtId="0" fontId="36" fillId="15" borderId="1" xfId="5" applyFont="1" applyFill="1" applyBorder="1" applyAlignment="1">
      <alignment horizontal="center" vertical="center" wrapText="1"/>
    </xf>
    <xf numFmtId="0" fontId="37" fillId="0" borderId="1" xfId="5" applyFont="1" applyBorder="1" applyAlignment="1">
      <alignment horizontal="left" vertical="center"/>
    </xf>
    <xf numFmtId="0" fontId="37" fillId="0" borderId="1" xfId="5" applyFont="1" applyBorder="1" applyAlignment="1">
      <alignment horizontal="left" vertical="center" wrapText="1"/>
    </xf>
    <xf numFmtId="0" fontId="37" fillId="0" borderId="1" xfId="5" applyFont="1" applyBorder="1" applyAlignment="1">
      <alignment horizontal="center" vertical="center"/>
    </xf>
    <xf numFmtId="0" fontId="37" fillId="0" borderId="1" xfId="5" quotePrefix="1" applyFont="1" applyBorder="1" applyAlignment="1">
      <alignment horizontal="left" vertical="center" wrapText="1"/>
    </xf>
    <xf numFmtId="0" fontId="39" fillId="0" borderId="0" xfId="5" applyFont="1"/>
    <xf numFmtId="0" fontId="37" fillId="0" borderId="6" xfId="5" applyFont="1" applyBorder="1" applyAlignment="1">
      <alignment horizontal="left" vertical="center" wrapText="1"/>
    </xf>
    <xf numFmtId="0" fontId="37" fillId="0" borderId="6" xfId="5" applyFont="1" applyBorder="1" applyAlignment="1">
      <alignment vertical="center" wrapText="1"/>
    </xf>
    <xf numFmtId="0" fontId="0" fillId="10" borderId="0" xfId="0" applyFill="1" applyAlignment="1">
      <alignment horizontal="left" wrapText="1"/>
    </xf>
    <xf numFmtId="0" fontId="0" fillId="0" borderId="14" xfId="0" applyBorder="1" applyAlignment="1">
      <alignment horizontal="left" wrapText="1"/>
    </xf>
    <xf numFmtId="0" fontId="0" fillId="10" borderId="14" xfId="0" applyFill="1" applyBorder="1" applyAlignment="1">
      <alignment horizontal="left" wrapText="1"/>
    </xf>
    <xf numFmtId="0" fontId="0" fillId="0" borderId="15" xfId="0" applyBorder="1" applyAlignment="1">
      <alignment horizontal="left" wrapText="1"/>
    </xf>
    <xf numFmtId="0" fontId="0" fillId="16" borderId="0" xfId="0" applyFill="1" applyAlignment="1">
      <alignment horizontal="left" indent="3"/>
    </xf>
    <xf numFmtId="0" fontId="0" fillId="16" borderId="0" xfId="0" applyFill="1"/>
    <xf numFmtId="167" fontId="0" fillId="16" borderId="0" xfId="2" applyNumberFormat="1" applyFont="1" applyFill="1"/>
    <xf numFmtId="0" fontId="0" fillId="16" borderId="0" xfId="0" applyFill="1" applyAlignment="1">
      <alignment wrapText="1"/>
    </xf>
    <xf numFmtId="0" fontId="0" fillId="16" borderId="0" xfId="0" applyFill="1" applyAlignment="1">
      <alignment horizontal="left" indent="5"/>
    </xf>
    <xf numFmtId="9" fontId="0" fillId="16" borderId="0" xfId="0" applyNumberFormat="1" applyFill="1"/>
    <xf numFmtId="167" fontId="0" fillId="16" borderId="0" xfId="2" applyNumberFormat="1" applyFont="1" applyFill="1" applyBorder="1"/>
    <xf numFmtId="0" fontId="0" fillId="16" borderId="14" xfId="0" applyFill="1" applyBorder="1" applyAlignment="1">
      <alignment horizontal="left" indent="5"/>
    </xf>
    <xf numFmtId="9" fontId="0" fillId="16" borderId="14" xfId="0" applyNumberFormat="1" applyFill="1" applyBorder="1"/>
    <xf numFmtId="167" fontId="0" fillId="16" borderId="14" xfId="2" applyNumberFormat="1" applyFont="1" applyFill="1" applyBorder="1"/>
    <xf numFmtId="0" fontId="0" fillId="16" borderId="14" xfId="0" applyFill="1" applyBorder="1"/>
    <xf numFmtId="0" fontId="0" fillId="0" borderId="14" xfId="0" applyBorder="1" applyAlignment="1">
      <alignment horizontal="left" wrapText="1" indent="3"/>
    </xf>
    <xf numFmtId="3" fontId="0" fillId="0" borderId="0" xfId="0" applyNumberFormat="1" applyAlignment="1">
      <alignment horizontal="center" vertical="center"/>
    </xf>
    <xf numFmtId="3" fontId="21" fillId="0" borderId="0" xfId="0" applyNumberFormat="1" applyFont="1" applyAlignment="1">
      <alignment horizontal="center" vertical="center"/>
    </xf>
    <xf numFmtId="0" fontId="4" fillId="0" borderId="0" xfId="0" applyFont="1" applyAlignment="1">
      <alignment horizontal="left" vertical="center" wrapText="1"/>
    </xf>
    <xf numFmtId="3" fontId="21" fillId="0" borderId="0" xfId="0" applyNumberFormat="1" applyFont="1" applyAlignment="1">
      <alignment horizontal="left" vertical="center"/>
    </xf>
    <xf numFmtId="0" fontId="3" fillId="0" borderId="29" xfId="0" applyFont="1" applyBorder="1" applyAlignment="1">
      <alignment wrapText="1"/>
    </xf>
    <xf numFmtId="0" fontId="3" fillId="0" borderId="28" xfId="0" applyFont="1" applyBorder="1"/>
    <xf numFmtId="167" fontId="3" fillId="0" borderId="28" xfId="2" applyNumberFormat="1" applyFont="1" applyBorder="1"/>
    <xf numFmtId="167" fontId="3" fillId="0" borderId="28" xfId="2" applyNumberFormat="1" applyFont="1" applyFill="1" applyBorder="1"/>
    <xf numFmtId="167" fontId="3" fillId="10" borderId="28" xfId="2" applyNumberFormat="1" applyFont="1" applyFill="1" applyBorder="1"/>
    <xf numFmtId="167" fontId="3" fillId="0" borderId="29" xfId="2" applyNumberFormat="1" applyFont="1" applyBorder="1"/>
    <xf numFmtId="167" fontId="3" fillId="10" borderId="29" xfId="2" applyNumberFormat="1" applyFont="1" applyFill="1" applyBorder="1"/>
    <xf numFmtId="167" fontId="3" fillId="0" borderId="28" xfId="0" applyNumberFormat="1" applyFont="1" applyBorder="1"/>
    <xf numFmtId="167" fontId="3" fillId="0" borderId="29" xfId="2" applyNumberFormat="1" applyFont="1" applyFill="1" applyBorder="1"/>
    <xf numFmtId="167" fontId="3" fillId="0" borderId="30" xfId="2" applyNumberFormat="1" applyFont="1" applyBorder="1"/>
    <xf numFmtId="0" fontId="40" fillId="0" borderId="0" xfId="0" applyFont="1"/>
    <xf numFmtId="169" fontId="0" fillId="0" borderId="1" xfId="3" applyNumberFormat="1" applyFont="1" applyFill="1" applyBorder="1" applyAlignment="1">
      <alignment wrapText="1"/>
    </xf>
    <xf numFmtId="172" fontId="0" fillId="0" borderId="1" xfId="0" applyNumberFormat="1" applyBorder="1" applyAlignment="1">
      <alignment vertical="top" wrapText="1"/>
    </xf>
    <xf numFmtId="172" fontId="0" fillId="0" borderId="1" xfId="0" applyNumberFormat="1" applyBorder="1" applyAlignment="1">
      <alignment vertical="top"/>
    </xf>
    <xf numFmtId="0" fontId="3" fillId="0" borderId="0" xfId="0" applyFont="1" applyAlignment="1">
      <alignment vertical="top"/>
    </xf>
    <xf numFmtId="0" fontId="3" fillId="0" borderId="1" xfId="0" applyFont="1" applyBorder="1" applyAlignment="1">
      <alignment vertical="top"/>
    </xf>
    <xf numFmtId="1" fontId="0" fillId="0" borderId="1" xfId="0" applyNumberFormat="1" applyBorder="1" applyAlignment="1">
      <alignment vertical="top"/>
    </xf>
    <xf numFmtId="1" fontId="0" fillId="0" borderId="1" xfId="0" applyNumberFormat="1" applyBorder="1" applyAlignment="1">
      <alignment vertical="top" wrapText="1"/>
    </xf>
    <xf numFmtId="170" fontId="17" fillId="0" borderId="1" xfId="0" applyNumberFormat="1" applyFont="1" applyBorder="1" applyAlignment="1">
      <alignment vertical="top"/>
    </xf>
    <xf numFmtId="2" fontId="0" fillId="0" borderId="1" xfId="0" applyNumberFormat="1" applyBorder="1" applyAlignment="1">
      <alignment vertical="top"/>
    </xf>
    <xf numFmtId="2" fontId="17" fillId="0" borderId="1" xfId="0" applyNumberFormat="1" applyFont="1" applyBorder="1" applyAlignment="1">
      <alignment vertical="top"/>
    </xf>
    <xf numFmtId="168" fontId="17" fillId="0" borderId="1" xfId="0" applyNumberFormat="1" applyFont="1" applyBorder="1" applyAlignment="1">
      <alignment vertical="top" wrapText="1"/>
    </xf>
    <xf numFmtId="166" fontId="0" fillId="0" borderId="1" xfId="0" applyNumberFormat="1" applyBorder="1" applyAlignment="1">
      <alignment vertical="top"/>
    </xf>
    <xf numFmtId="171" fontId="0" fillId="0" borderId="0" xfId="0" applyNumberFormat="1"/>
    <xf numFmtId="169" fontId="0" fillId="0" borderId="1" xfId="0" applyNumberFormat="1" applyBorder="1" applyAlignment="1">
      <alignment vertical="top"/>
    </xf>
    <xf numFmtId="166" fontId="0" fillId="0" borderId="0" xfId="0" applyNumberFormat="1" applyAlignment="1">
      <alignment vertical="top"/>
    </xf>
    <xf numFmtId="0" fontId="0" fillId="0" borderId="6" xfId="0" applyBorder="1" applyAlignment="1">
      <alignment vertical="top"/>
    </xf>
    <xf numFmtId="167" fontId="0" fillId="13" borderId="15" xfId="0" applyNumberFormat="1" applyFill="1" applyBorder="1"/>
    <xf numFmtId="0" fontId="25" fillId="13" borderId="0" xfId="0" applyFont="1" applyFill="1"/>
    <xf numFmtId="181" fontId="0" fillId="0" borderId="14" xfId="0" applyNumberFormat="1" applyBorder="1" applyAlignment="1">
      <alignment wrapText="1"/>
    </xf>
    <xf numFmtId="0" fontId="41" fillId="0" borderId="14" xfId="0" applyFont="1" applyBorder="1"/>
    <xf numFmtId="0" fontId="40" fillId="0" borderId="0" xfId="0" applyFont="1" applyAlignment="1">
      <alignment wrapText="1"/>
    </xf>
    <xf numFmtId="0" fontId="23" fillId="0" borderId="0" xfId="0" applyFont="1" applyAlignment="1">
      <alignment vertical="top" wrapText="1"/>
    </xf>
    <xf numFmtId="3" fontId="27" fillId="0" borderId="20" xfId="0" applyNumberFormat="1" applyFont="1" applyBorder="1" applyAlignment="1">
      <alignment horizontal="right" vertical="center" wrapText="1" readingOrder="1"/>
    </xf>
    <xf numFmtId="0" fontId="27" fillId="0" borderId="21" xfId="0" applyFont="1" applyBorder="1" applyAlignment="1">
      <alignment horizontal="left" vertical="center" wrapText="1" indent="1" readingOrder="1"/>
    </xf>
    <xf numFmtId="164" fontId="27" fillId="0" borderId="31" xfId="0" applyNumberFormat="1" applyFont="1" applyBorder="1" applyAlignment="1">
      <alignment horizontal="right" vertical="center" wrapText="1" readingOrder="1"/>
    </xf>
    <xf numFmtId="167" fontId="27" fillId="0" borderId="20" xfId="2" applyNumberFormat="1" applyFont="1" applyBorder="1" applyAlignment="1">
      <alignment horizontal="right" vertical="center" wrapText="1" readingOrder="1"/>
    </xf>
    <xf numFmtId="0" fontId="2" fillId="11" borderId="18" xfId="0" applyFont="1" applyFill="1" applyBorder="1" applyAlignment="1">
      <alignment vertical="top" wrapText="1"/>
    </xf>
    <xf numFmtId="167" fontId="28" fillId="0" borderId="20" xfId="2" applyNumberFormat="1" applyFont="1" applyBorder="1" applyAlignment="1">
      <alignment horizontal="right" vertical="center" wrapText="1" readingOrder="1"/>
    </xf>
    <xf numFmtId="0" fontId="0" fillId="13" borderId="14" xfId="0" applyFill="1" applyBorder="1" applyAlignment="1">
      <alignment horizontal="left" wrapText="1" indent="2"/>
    </xf>
    <xf numFmtId="0" fontId="3" fillId="13" borderId="14" xfId="0" applyFont="1" applyFill="1" applyBorder="1"/>
    <xf numFmtId="167" fontId="1" fillId="13" borderId="14" xfId="2" applyNumberFormat="1" applyFont="1" applyFill="1" applyBorder="1"/>
    <xf numFmtId="165" fontId="0" fillId="13" borderId="14" xfId="2" applyFont="1" applyFill="1" applyBorder="1" applyAlignment="1">
      <alignment wrapText="1"/>
    </xf>
    <xf numFmtId="9" fontId="3" fillId="13" borderId="14" xfId="4" applyFont="1" applyFill="1" applyBorder="1"/>
    <xf numFmtId="9" fontId="1" fillId="13" borderId="14" xfId="4" applyFont="1" applyFill="1" applyBorder="1" applyAlignment="1">
      <alignment wrapText="1"/>
    </xf>
    <xf numFmtId="0" fontId="17" fillId="0" borderId="21" xfId="0" applyFont="1" applyBorder="1" applyAlignment="1">
      <alignment horizontal="left" vertical="center" wrapText="1" indent="5" readingOrder="1"/>
    </xf>
    <xf numFmtId="0" fontId="17" fillId="0" borderId="32" xfId="0" applyFont="1" applyBorder="1" applyAlignment="1">
      <alignment horizontal="center" vertical="center" wrapText="1" readingOrder="1"/>
    </xf>
    <xf numFmtId="164" fontId="17" fillId="0" borderId="31" xfId="0" applyNumberFormat="1" applyFont="1" applyBorder="1" applyAlignment="1">
      <alignment horizontal="right" vertical="center" wrapText="1" readingOrder="1"/>
    </xf>
    <xf numFmtId="0" fontId="35" fillId="0" borderId="14" xfId="5" applyFont="1" applyBorder="1" applyAlignment="1">
      <alignment vertical="center" wrapText="1"/>
    </xf>
    <xf numFmtId="0" fontId="34" fillId="0" borderId="14" xfId="5" applyFont="1" applyBorder="1" applyAlignment="1">
      <alignment vertical="center" wrapText="1"/>
    </xf>
    <xf numFmtId="0" fontId="3" fillId="0" borderId="14" xfId="0" applyFont="1" applyBorder="1" applyAlignment="1">
      <alignment horizontal="center"/>
    </xf>
    <xf numFmtId="0" fontId="0" fillId="0" borderId="4" xfId="0" applyBorder="1" applyAlignment="1">
      <alignment horizontal="center" wrapText="1"/>
    </xf>
    <xf numFmtId="0" fontId="0" fillId="0" borderId="13" xfId="0" applyBorder="1" applyAlignment="1">
      <alignment horizontal="center" wrapText="1"/>
    </xf>
    <xf numFmtId="0" fontId="0" fillId="0" borderId="5" xfId="0" applyBorder="1" applyAlignment="1">
      <alignment horizontal="center" wrapText="1"/>
    </xf>
    <xf numFmtId="169" fontId="3" fillId="0" borderId="4" xfId="3" applyNumberFormat="1" applyFont="1" applyFill="1" applyBorder="1" applyAlignment="1">
      <alignment horizontal="center" vertical="top" wrapText="1"/>
    </xf>
    <xf numFmtId="169" fontId="3" fillId="0" borderId="5" xfId="3" applyNumberFormat="1" applyFont="1" applyFill="1" applyBorder="1" applyAlignment="1">
      <alignment horizontal="center" vertical="top" wrapText="1"/>
    </xf>
    <xf numFmtId="0" fontId="5" fillId="0" borderId="1" xfId="0" applyFont="1" applyBorder="1" applyAlignment="1">
      <alignment horizontal="center" vertical="center"/>
    </xf>
    <xf numFmtId="0" fontId="20" fillId="5" borderId="0" xfId="0" applyFont="1" applyFill="1" applyAlignment="1">
      <alignment horizontal="center" vertical="center"/>
    </xf>
    <xf numFmtId="0" fontId="16" fillId="6" borderId="0" xfId="0" applyFont="1" applyFill="1" applyAlignment="1">
      <alignment horizontal="center"/>
    </xf>
    <xf numFmtId="0" fontId="0" fillId="0" borderId="1" xfId="0" applyBorder="1" applyAlignment="1">
      <alignment horizontal="center" vertical="center"/>
    </xf>
  </cellXfs>
  <cellStyles count="6">
    <cellStyle name="Comma" xfId="3" builtinId="3"/>
    <cellStyle name="Currency" xfId="2" builtinId="4"/>
    <cellStyle name="Normal" xfId="0" builtinId="0"/>
    <cellStyle name="Normal 2" xfId="1" xr:uid="{00000000-0005-0000-0000-000001000000}"/>
    <cellStyle name="Normal 3" xfId="5" xr:uid="{784F7B8D-D261-407B-B952-1FA114D85263}"/>
    <cellStyle name="Percent" xfId="4" builtinId="5"/>
  </cellStyles>
  <dxfs count="3">
    <dxf>
      <numFmt numFmtId="1" formatCode="0"/>
    </dxf>
    <dxf>
      <alignment wrapText="1"/>
    </dxf>
    <dxf>
      <alignment wrapText="1"/>
    </dxf>
  </dxfs>
  <tableStyles count="0" defaultTableStyle="TableStyleMedium2" defaultPivotStyle="PivotStyleLight16"/>
  <colors>
    <mruColors>
      <color rgb="FFFF3399"/>
      <color rgb="FFBEEA32"/>
      <color rgb="FF32EAD0"/>
      <color rgb="FF24F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 vs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7.4838795835452082E-2"/>
                  <c:y val="-0.166732326548478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'Filtec Costing Raw'!$L$23:$L$26</c:f>
              <c:numCache>
                <c:formatCode>General</c:formatCode>
                <c:ptCount val="4"/>
                <c:pt idx="0">
                  <c:v>250</c:v>
                </c:pt>
                <c:pt idx="1">
                  <c:v>625</c:v>
                </c:pt>
                <c:pt idx="2">
                  <c:v>1250</c:v>
                </c:pt>
                <c:pt idx="3">
                  <c:v>1875</c:v>
                </c:pt>
              </c:numCache>
            </c:numRef>
          </c:xVal>
          <c:yVal>
            <c:numRef>
              <c:f>'Filtec Costing Raw'!$M$23:$M$26</c:f>
              <c:numCache>
                <c:formatCode>"$"#,##0</c:formatCode>
                <c:ptCount val="4"/>
                <c:pt idx="0">
                  <c:v>156000</c:v>
                </c:pt>
                <c:pt idx="1">
                  <c:v>191000</c:v>
                </c:pt>
                <c:pt idx="2">
                  <c:v>227000</c:v>
                </c:pt>
                <c:pt idx="3">
                  <c:v>266000</c:v>
                </c:pt>
              </c:numCache>
            </c:numRef>
          </c:yVal>
          <c:smooth val="0"/>
          <c:extLst>
            <c:ext xmlns:c16="http://schemas.microsoft.com/office/drawing/2014/chart" uri="{C3380CC4-5D6E-409C-BE32-E72D297353CC}">
              <c16:uniqueId val="{00000003-6362-44B6-B2AA-B82A1B02D029}"/>
            </c:ext>
          </c:extLst>
        </c:ser>
        <c:dLbls>
          <c:showLegendKey val="0"/>
          <c:showVal val="0"/>
          <c:showCatName val="0"/>
          <c:showSerName val="0"/>
          <c:showPercent val="0"/>
          <c:showBubbleSize val="0"/>
        </c:dLbls>
        <c:axId val="2122795551"/>
        <c:axId val="2122793471"/>
      </c:scatterChart>
      <c:valAx>
        <c:axId val="212279555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Capacity (m3/hr)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793471"/>
        <c:crosses val="autoZero"/>
        <c:crossBetween val="midCat"/>
      </c:valAx>
      <c:valAx>
        <c:axId val="21227934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(NZD)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7955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84734</xdr:colOff>
      <xdr:row>1</xdr:row>
      <xdr:rowOff>83820</xdr:rowOff>
    </xdr:from>
    <xdr:to>
      <xdr:col>3</xdr:col>
      <xdr:colOff>1886585</xdr:colOff>
      <xdr:row>1</xdr:row>
      <xdr:rowOff>502920</xdr:rowOff>
    </xdr:to>
    <xdr:pic>
      <xdr:nvPicPr>
        <xdr:cNvPr id="2" name="Picture 1" descr="Brand Logo">
          <a:extLst>
            <a:ext uri="{FF2B5EF4-FFF2-40B4-BE49-F238E27FC236}">
              <a16:creationId xmlns:a16="http://schemas.microsoft.com/office/drawing/2014/main" id="{1F641063-EA8A-4D27-AF97-852F4B9D5B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7574" y="83820"/>
          <a:ext cx="1801851"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419100</xdr:colOff>
      <xdr:row>2</xdr:row>
      <xdr:rowOff>119062</xdr:rowOff>
    </xdr:from>
    <xdr:to>
      <xdr:col>15</xdr:col>
      <xdr:colOff>114300</xdr:colOff>
      <xdr:row>19</xdr:row>
      <xdr:rowOff>109537</xdr:rowOff>
    </xdr:to>
    <xdr:graphicFrame macro="">
      <xdr:nvGraphicFramePr>
        <xdr:cNvPr id="5" name="Chart 4">
          <a:extLst>
            <a:ext uri="{FF2B5EF4-FFF2-40B4-BE49-F238E27FC236}">
              <a16:creationId xmlns:a16="http://schemas.microsoft.com/office/drawing/2014/main" id="{BC140FEF-4572-41BB-8B0D-12948C4D37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jacobsengineering.sharepoint.com/sites/IC_IZ132100KingstonHIF---JACOBSONLY---/Shared%20Documents/Project%20Folder/01%20Design/03%20Process/Wastewater%20and%20Water%20Supply/Water%20Supply/WTP%20Fluoride%20Provisions/KingstonWTP_Fluoride_ProcessDesignParameters_v1.xlsx?97C94D0A" TargetMode="External"/><Relationship Id="rId1" Type="http://schemas.openxmlformats.org/officeDocument/2006/relationships/externalLinkPath" Target="file:///\\97C94D0A\KingstonWTP_Fluoride_ProcessDesignParameter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Guidance-KenMains"/>
      <sheetName val="FootprintOverview"/>
      <sheetName val="HGL"/>
      <sheetName val="HGL (Revised based on Model)"/>
      <sheetName val="Flows"/>
      <sheetName val="WaterQuality"/>
      <sheetName val="DesignBasisOverview"/>
      <sheetName val="Piping"/>
      <sheetName val="Fluoride - FSA (Kingston)"/>
      <sheetName val="References"/>
      <sheetName val="Chemicals (Coquitlam)"/>
      <sheetName val="WrkShp4-Filter Math"/>
      <sheetName val="Ozone-NOT_INCLUDED"/>
      <sheetName val="Electrical"/>
      <sheetName val="CostCheck"/>
      <sheetName val="Ponds"/>
      <sheetName val="StandbyPower"/>
    </sheetNames>
    <sheetDataSet>
      <sheetData sheetId="0"/>
      <sheetData sheetId="1"/>
      <sheetData sheetId="2"/>
      <sheetData sheetId="3"/>
      <sheetData sheetId="4">
        <row r="12">
          <cell r="C12" t="str">
            <v>MLD</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Deeley, Jack" id="{0E375E5E-E5AF-4A57-846E-34BBBA16BF13}" userId="S::Jack.Deeley@jacobs.com::5c7a41f6-e2c1-4ce4-97dc-1f11d2553368" providerId="AD"/>
  <person displayName="Vlad, Silvia/TOR" id="{1BEB19AF-31B7-4D53-8DF4-A71A5D08FDE0}" userId="S::SILVIA.VLAD@jacobs.com::62099116-8df0-4f1a-9356-0cb75d5cc454"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https://jacobsengineering.sharepoint.com/sites/ICChristchurch%20City%20Council/Shared%20Documents/03.%20HDM%20Panel%20Current%20Projects/IA273800%20CCC%20Fluoridation%20Study/01.%20Design/working%20files/PS%20List%20for%20Fluoridation%20Study_Preliminary%20Classification.xlsx?C3BF4658" TargetMode="External"/><Relationship Id="rId2" Type="http://schemas.openxmlformats.org/officeDocument/2006/relationships/externalLinkPath" Target="file:///\\C3BF4658\PS%20List%20for%20Fluoridation%20Study_Preliminary%20Classificatio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lad, Silvia/TOR" refreshedDate="44599.742468055556" createdVersion="7" refreshedVersion="7" minRefreshableVersion="3" recordCount="52" xr:uid="{AF1C37B4-9A91-449F-856D-DB94A4BE3459}">
  <cacheSource type="worksheet">
    <worksheetSource ref="A3:AF55" sheet="Original PS List" r:id="rId2"/>
  </cacheSource>
  <cacheFields count="19">
    <cacheField name="PS#" numFmtId="0">
      <sharedItems containsString="0" containsBlank="1" containsNumber="1" containsInteger="1" minValue="1" maxValue="45"/>
    </cacheField>
    <cacheField name="Water Supply Zone" numFmtId="0">
      <sharedItems containsBlank="1"/>
    </cacheField>
    <cacheField name="PS Name" numFmtId="0">
      <sharedItems containsBlank="1"/>
    </cacheField>
    <cacheField name="PS Number" numFmtId="0">
      <sharedItems containsBlank="1"/>
    </cacheField>
    <cacheField name="Include / Exclude" numFmtId="0">
      <sharedItems containsBlank="1" count="5">
        <s v="include"/>
        <s v="exclude - renewal"/>
        <s v="exclude - future"/>
        <s v="exclude - remove"/>
        <m/>
      </sharedItems>
    </cacheField>
    <cacheField name="PS Type " numFmtId="0">
      <sharedItems containsString="0" containsBlank="1" containsNumber="1" containsInteger="1" minValue="1" maxValue="4"/>
    </cacheField>
    <cacheField name="Description" numFmtId="0">
      <sharedItems containsBlank="1" count="5">
        <s v="submersible pumped into mains"/>
        <s v="suction tank / surface pumped into mains"/>
        <s v="submersible + artesian/surface pumped into mains"/>
        <s v="artesian/surface pumped into mains"/>
        <m/>
      </sharedItems>
    </cacheField>
    <cacheField name="Suction Tank" numFmtId="0">
      <sharedItems containsBlank="1"/>
    </cacheField>
    <cacheField name="Suction Tank Volume (m3)" numFmtId="0">
      <sharedItems containsString="0" containsBlank="1" containsNumber="1" containsInteger="1" minValue="180" maxValue="4500"/>
    </cacheField>
    <cacheField name="No. Wells" numFmtId="0">
      <sharedItems containsString="0" containsBlank="1" containsNumber="1" containsInteger="1" minValue="1" maxValue="6"/>
    </cacheField>
    <cacheField name="No. Surface Pumps" numFmtId="0">
      <sharedItems containsBlank="1" containsMixedTypes="1" containsNumber="1" containsInteger="1" minValue="1" maxValue="3"/>
    </cacheField>
    <cacheField name="Pump Size (m3/hr/pump)" numFmtId="0">
      <sharedItems containsBlank="1" containsMixedTypes="1" containsNumber="1" containsInteger="1" minValue="200" maxValue="270"/>
    </cacheField>
    <cacheField name="Max historic Q (m3/hr)" numFmtId="0">
      <sharedItems containsBlank="1" containsMixedTypes="1" containsNumber="1" minValue="112" maxValue="1433"/>
    </cacheField>
    <cacheField name="PS Capacity Now  (m3/hr)" numFmtId="0">
      <sharedItems containsString="0" containsBlank="1" containsNumber="1" minValue="0" maxValue="1320"/>
    </cacheField>
    <cacheField name="PS Capacity Future (m3/hr)" numFmtId="0">
      <sharedItems containsString="0" containsBlank="1" containsNumber="1" minValue="0" maxValue="1320" count="42">
        <n v="350"/>
        <n v="0"/>
        <n v="374"/>
        <n v="380"/>
        <n v="845"/>
        <n v="512"/>
        <n v="918.55681666666692"/>
        <n v="450"/>
        <n v="500"/>
        <n v="424.8"/>
        <n v="356"/>
        <n v="285"/>
        <n v="321"/>
        <n v="580"/>
        <n v="485"/>
        <n v="551"/>
        <n v="277"/>
        <n v="504"/>
        <n v="1320"/>
        <n v="1100"/>
        <n v="470"/>
        <n v="1149.9839999999999"/>
        <n v="1000"/>
        <n v="252"/>
        <n v="280"/>
        <n v="528"/>
        <n v="300"/>
        <n v="345.625"/>
        <n v="550"/>
        <n v="449"/>
        <n v="511"/>
        <n v="137"/>
        <n v="557.67758209228521"/>
        <n v="120"/>
        <n v="666.66666666666663"/>
        <n v="545"/>
        <n v="440"/>
        <n v="768"/>
        <n v="180"/>
        <n v="108"/>
        <n v="87.5"/>
        <m/>
      </sharedItems>
      <fieldGroup par="18"/>
    </cacheField>
    <cacheField name="Notes" numFmtId="0">
      <sharedItems containsBlank="1"/>
    </cacheField>
    <cacheField name="PS Capacity Now (ML/d)" numFmtId="0">
      <sharedItems containsString="0" containsBlank="1" containsNumber="1" minValue="0" maxValue="31.68"/>
    </cacheField>
    <cacheField name="PS Capacity Future (ML/d)" numFmtId="0">
      <sharedItems containsString="0" containsBlank="1" containsNumber="1" minValue="0" maxValue="31.68"/>
    </cacheField>
    <cacheField name="PS Capacity Future (m3/hr)2" numFmtId="0" databaseField="0">
      <fieldGroup base="14">
        <discretePr count="42">
          <x v="5"/>
          <x v="0"/>
          <x v="5"/>
          <x v="5"/>
          <x v="6"/>
          <x v="5"/>
          <x v="6"/>
          <x v="5"/>
          <x v="5"/>
          <x v="5"/>
          <x v="5"/>
          <x v="4"/>
          <x v="5"/>
          <x v="5"/>
          <x v="5"/>
          <x v="5"/>
          <x v="4"/>
          <x v="1"/>
          <x v="6"/>
          <x v="6"/>
          <x v="5"/>
          <x v="6"/>
          <x v="6"/>
          <x v="4"/>
          <x v="4"/>
          <x v="5"/>
          <x v="4"/>
          <x v="2"/>
          <x v="5"/>
          <x v="5"/>
          <x v="5"/>
          <x v="4"/>
          <x v="5"/>
          <x v="4"/>
          <x v="6"/>
          <x v="5"/>
          <x v="5"/>
          <x v="6"/>
          <x v="4"/>
          <x v="4"/>
          <x v="4"/>
          <x v="3"/>
        </discretePr>
        <groupItems count="7">
          <n v="0"/>
          <n v="504"/>
          <n v="345.625"/>
          <m/>
          <s v="Group1"/>
          <s v="Group2"/>
          <s v="Group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n v="1"/>
    <s v="North West"/>
    <s v="Thompsons"/>
    <s v="PS1078"/>
    <x v="0"/>
    <n v="1"/>
    <x v="0"/>
    <s v="û"/>
    <m/>
    <n v="2"/>
    <s v="n/a"/>
    <m/>
    <n v="377"/>
    <n v="350"/>
    <x v="0"/>
    <m/>
    <n v="8.4"/>
    <n v="8.4"/>
  </r>
  <r>
    <m/>
    <s v="North West"/>
    <s v="Auburn"/>
    <s v="PS1068"/>
    <x v="1"/>
    <n v="2"/>
    <x v="1"/>
    <s v="Yes"/>
    <m/>
    <n v="1"/>
    <n v="2"/>
    <s v="140/140"/>
    <n v="327"/>
    <n v="275"/>
    <x v="1"/>
    <s v="renewal planned for completion FY28"/>
    <n v="6.6"/>
    <n v="0"/>
  </r>
  <r>
    <n v="2"/>
    <s v="North West"/>
    <s v="Avonhead"/>
    <s v="PS1069"/>
    <x v="0"/>
    <n v="1"/>
    <x v="0"/>
    <s v="û"/>
    <m/>
    <n v="2"/>
    <s v="n/a"/>
    <m/>
    <n v="374"/>
    <n v="374"/>
    <x v="2"/>
    <m/>
    <n v="8.9760000000000009"/>
    <n v="8.9760000000000009"/>
  </r>
  <r>
    <n v="3"/>
    <s v="North West"/>
    <s v="Belfast"/>
    <s v="PS1070"/>
    <x v="0"/>
    <n v="3"/>
    <x v="2"/>
    <s v="û"/>
    <m/>
    <n v="2"/>
    <n v="1"/>
    <n v="200"/>
    <n v="261"/>
    <n v="380"/>
    <x v="3"/>
    <s v="changes made to station to achieve higher max"/>
    <n v="9.1199999999999992"/>
    <n v="9.1199999999999992"/>
  </r>
  <r>
    <n v="4"/>
    <s v="North West"/>
    <s v="Burnside"/>
    <s v="PS1071"/>
    <x v="0"/>
    <n v="1"/>
    <x v="0"/>
    <s v="û"/>
    <m/>
    <n v="6"/>
    <s v="n/a"/>
    <m/>
    <n v="779"/>
    <n v="845"/>
    <x v="4"/>
    <m/>
    <n v="20.28"/>
    <n v="20.28"/>
  </r>
  <r>
    <n v="5"/>
    <s v="North West"/>
    <s v="Crosbie"/>
    <s v="PS1072"/>
    <x v="0"/>
    <n v="1"/>
    <x v="0"/>
    <s v="û"/>
    <m/>
    <n v="3"/>
    <s v="n/a"/>
    <m/>
    <n v="512"/>
    <n v="512"/>
    <x v="5"/>
    <m/>
    <n v="12.288"/>
    <n v="12.288"/>
  </r>
  <r>
    <n v="6"/>
    <s v="North West"/>
    <s v="Farrington"/>
    <s v="PS1073"/>
    <x v="0"/>
    <n v="1"/>
    <x v="0"/>
    <s v="û"/>
    <m/>
    <n v="5"/>
    <s v="n/a"/>
    <m/>
    <n v="918.55681666666692"/>
    <n v="918.55681666666692"/>
    <x v="6"/>
    <m/>
    <n v="22.045363600000005"/>
    <n v="22.045363600000005"/>
  </r>
  <r>
    <n v="7"/>
    <s v="North West"/>
    <s v="Grampian"/>
    <s v="PS1074"/>
    <x v="0"/>
    <n v="2"/>
    <x v="1"/>
    <s v="Yes"/>
    <m/>
    <n v="3"/>
    <n v="3"/>
    <s v="160/160/130"/>
    <n v="430"/>
    <n v="430"/>
    <x v="7"/>
    <m/>
    <n v="10.32"/>
    <n v="10.8"/>
  </r>
  <r>
    <n v="8"/>
    <s v="North West"/>
    <s v="Jeffreys"/>
    <s v="PS1076"/>
    <x v="0"/>
    <n v="2"/>
    <x v="1"/>
    <s v="Yes"/>
    <n v="450"/>
    <n v="4"/>
    <n v="2"/>
    <s v="140/140_x000a_250/250 future"/>
    <n v="246"/>
    <n v="246"/>
    <x v="8"/>
    <s v="suction tank being constructed / pumps upgraded"/>
    <n v="5.9039999999999999"/>
    <n v="12"/>
  </r>
  <r>
    <n v="9"/>
    <s v="North West"/>
    <s v="Redwood"/>
    <s v="PS1077"/>
    <x v="0"/>
    <n v="1"/>
    <x v="0"/>
    <s v="û"/>
    <m/>
    <n v="2"/>
    <s v="n/a"/>
    <m/>
    <n v="535"/>
    <n v="0"/>
    <x v="9"/>
    <s v="work underway to renew wells"/>
    <n v="0"/>
    <n v="10.1952"/>
  </r>
  <r>
    <n v="10"/>
    <s v="North West"/>
    <s v="Wrights"/>
    <s v="PS1080"/>
    <x v="0"/>
    <n v="1"/>
    <x v="0"/>
    <s v="û"/>
    <m/>
    <n v="2"/>
    <s v="n/a"/>
    <m/>
    <n v="381"/>
    <n v="356"/>
    <x v="10"/>
    <m/>
    <n v="8.5440000000000005"/>
    <n v="8.5440000000000005"/>
  </r>
  <r>
    <n v="11"/>
    <s v="North West"/>
    <s v="Gardiners"/>
    <s v="PS1125"/>
    <x v="0"/>
    <n v="2"/>
    <x v="1"/>
    <s v="Yes"/>
    <n v="500"/>
    <n v="2"/>
    <n v="2"/>
    <s v="180/180"/>
    <n v="350"/>
    <n v="350"/>
    <x v="0"/>
    <m/>
    <n v="8.4"/>
    <n v="8.4"/>
  </r>
  <r>
    <n v="12"/>
    <s v="Rawhiti"/>
    <s v="Aston"/>
    <s v="PS1004"/>
    <x v="0"/>
    <n v="4"/>
    <x v="3"/>
    <s v="û"/>
    <m/>
    <n v="2"/>
    <n v="2"/>
    <s v="169/169"/>
    <n v="285"/>
    <n v="285"/>
    <x v="11"/>
    <m/>
    <n v="6.84"/>
    <n v="6.84"/>
  </r>
  <r>
    <n v="13"/>
    <s v="Rawhiti"/>
    <s v="Effingham"/>
    <s v="PS1010"/>
    <x v="0"/>
    <n v="4"/>
    <x v="3"/>
    <s v="û"/>
    <m/>
    <n v="3"/>
    <n v="2"/>
    <s v="225/225"/>
    <n v="445"/>
    <n v="321"/>
    <x v="12"/>
    <m/>
    <n v="7.7039999999999997"/>
    <n v="7.7039999999999997"/>
  </r>
  <r>
    <n v="14"/>
    <s v="Rawhiti"/>
    <s v="Keyes"/>
    <s v="PS1119"/>
    <x v="0"/>
    <n v="2"/>
    <x v="1"/>
    <s v="Yes"/>
    <m/>
    <n v="3"/>
    <n v="3"/>
    <s v="180/200/200"/>
    <n v="593"/>
    <n v="580"/>
    <x v="13"/>
    <m/>
    <n v="13.92"/>
    <n v="13.92"/>
  </r>
  <r>
    <n v="15"/>
    <s v="Rawhiti"/>
    <s v="Lake Terrace"/>
    <s v="PS1023"/>
    <x v="0"/>
    <n v="2"/>
    <x v="1"/>
    <s v="Yes"/>
    <m/>
    <n v="3"/>
    <n v="2"/>
    <s v="260/225"/>
    <n v="829"/>
    <n v="485"/>
    <x v="14"/>
    <m/>
    <n v="11.64"/>
    <n v="11.64"/>
  </r>
  <r>
    <n v="16"/>
    <s v="Rawhiti"/>
    <s v="Carters"/>
    <s v="PS1008"/>
    <x v="0"/>
    <n v="2"/>
    <x v="1"/>
    <s v="Yes"/>
    <m/>
    <n v="4"/>
    <n v="2"/>
    <s v="225/225=450"/>
    <n v="580"/>
    <n v="551"/>
    <x v="15"/>
    <m/>
    <n v="13.224"/>
    <n v="13.224"/>
  </r>
  <r>
    <n v="17"/>
    <s v="Rawhiti"/>
    <s v="Estuary"/>
    <s v="PS1012"/>
    <x v="0"/>
    <n v="2"/>
    <x v="1"/>
    <s v="Yes"/>
    <m/>
    <n v="1"/>
    <n v="2"/>
    <s v="182/108=290"/>
    <n v="319"/>
    <n v="277"/>
    <x v="16"/>
    <m/>
    <n v="6.6479999999999997"/>
    <n v="6.6479999999999997"/>
  </r>
  <r>
    <m/>
    <s v="Rawhiti"/>
    <s v="Ben Rarere PS"/>
    <s v="PS1126"/>
    <x v="2"/>
    <n v="2"/>
    <x v="1"/>
    <s v="Yes"/>
    <n v="500"/>
    <n v="2"/>
    <n v="2"/>
    <s v="225/225"/>
    <s v="n/a"/>
    <n v="0"/>
    <x v="17"/>
    <s v="PS being constructed"/>
    <n v="0"/>
    <n v="12.096"/>
  </r>
  <r>
    <n v="18"/>
    <s v="West"/>
    <s v="Sockburn"/>
    <s v="PS1109"/>
    <x v="0"/>
    <n v="2"/>
    <x v="1"/>
    <s v="Yes"/>
    <n v="4500"/>
    <n v="6"/>
    <n v="2"/>
    <s v="792/792 = 1584"/>
    <n v="1312"/>
    <n v="1320"/>
    <x v="18"/>
    <s v="another pump as standby - well capacity used for PS max"/>
    <n v="31.68"/>
    <n v="31.68"/>
  </r>
  <r>
    <n v="19"/>
    <s v="West"/>
    <s v="Denton"/>
    <s v="PS1099"/>
    <x v="0"/>
    <n v="2"/>
    <x v="1"/>
    <s v="Yes"/>
    <n v="3500"/>
    <n v="5"/>
    <n v="2"/>
    <s v="900/900 = 1,800"/>
    <n v="1099"/>
    <n v="1100"/>
    <x v="19"/>
    <s v="another pump as standby - well capacity used for PS max"/>
    <n v="26.4"/>
    <n v="26.4"/>
  </r>
  <r>
    <n v="20"/>
    <s v="West"/>
    <s v="Wilmers"/>
    <s v="PS1117"/>
    <x v="0"/>
    <n v="2"/>
    <x v="1"/>
    <s v="Yes"/>
    <n v="3500"/>
    <n v="2"/>
    <n v="3"/>
    <s v="400/780/780 = 1,960"/>
    <n v="1254"/>
    <n v="470"/>
    <x v="20"/>
    <s v="well capacity used for PS max - will be expanded in future"/>
    <n v="11.28"/>
    <n v="11.28"/>
  </r>
  <r>
    <n v="21"/>
    <s v="West"/>
    <s v="Dunbars"/>
    <s v="PS1102"/>
    <x v="0"/>
    <n v="2"/>
    <x v="1"/>
    <s v="Yes"/>
    <n v="3500"/>
    <n v="4"/>
    <n v="2"/>
    <s v="900/900 = 1,800"/>
    <n v="1433"/>
    <n v="1149.9839999999999"/>
    <x v="21"/>
    <s v="another pump as standby - well capacity used for PS max"/>
    <n v="27.599616000000001"/>
    <n v="27.599616000000001"/>
  </r>
  <r>
    <n v="22"/>
    <s v="Central"/>
    <s v="Main Pumps WS"/>
    <s v="PS1024"/>
    <x v="0"/>
    <n v="2"/>
    <x v="1"/>
    <s v="Yes"/>
    <n v="1085"/>
    <n v="6"/>
    <n v="3"/>
    <s v="225/450/500=1,175"/>
    <n v="1138"/>
    <n v="1000"/>
    <x v="22"/>
    <m/>
    <n v="24"/>
    <n v="24"/>
  </r>
  <r>
    <n v="23"/>
    <s v="Central"/>
    <s v="Addington"/>
    <s v="PS1001"/>
    <x v="0"/>
    <n v="1"/>
    <x v="0"/>
    <s v="û"/>
    <m/>
    <n v="2"/>
    <s v="n/a"/>
    <s v="n/a"/>
    <n v="260"/>
    <n v="252"/>
    <x v="23"/>
    <m/>
    <n v="6.048"/>
    <n v="6.048"/>
  </r>
  <r>
    <n v="24"/>
    <s v="Central"/>
    <s v="Aldwins"/>
    <s v="PS1002"/>
    <x v="0"/>
    <n v="4"/>
    <x v="3"/>
    <s v="û"/>
    <m/>
    <n v="2"/>
    <n v="2"/>
    <s v="230/230=460"/>
    <n v="287"/>
    <n v="280"/>
    <x v="24"/>
    <s v="max PS capacity before becoming airlocked"/>
    <n v="6.72"/>
    <n v="6.72"/>
  </r>
  <r>
    <m/>
    <s v="Central"/>
    <s v="Averill"/>
    <s v="PS1005"/>
    <x v="1"/>
    <n v="4"/>
    <x v="3"/>
    <s v="û"/>
    <m/>
    <n v="2"/>
    <n v="1"/>
    <n v="225"/>
    <n v="305"/>
    <n v="225"/>
    <x v="1"/>
    <s v="renewal planned for completion FY26"/>
    <n v="5.4"/>
    <n v="0"/>
  </r>
  <r>
    <n v="25"/>
    <s v="Central"/>
    <s v="Blighs"/>
    <s v="PS1007"/>
    <x v="0"/>
    <n v="2"/>
    <x v="1"/>
    <s v="Yes"/>
    <n v="180"/>
    <n v="2"/>
    <n v="1"/>
    <n v="225"/>
    <n v="286"/>
    <n v="280"/>
    <x v="24"/>
    <s v="1 of wells being developed"/>
    <n v="6.72"/>
    <n v="6.72"/>
  </r>
  <r>
    <n v="26"/>
    <s v="Central"/>
    <s v="Grassmere"/>
    <s v="PS1014"/>
    <x v="0"/>
    <n v="2"/>
    <x v="1"/>
    <s v="Yes"/>
    <n v="300"/>
    <n v="3"/>
    <n v="2"/>
    <s v="225/225=450"/>
    <n v="528"/>
    <n v="528"/>
    <x v="25"/>
    <m/>
    <n v="12.672000000000001"/>
    <n v="12.672000000000001"/>
  </r>
  <r>
    <n v="27"/>
    <s v="Central"/>
    <s v="Hillmorton"/>
    <s v="PS1016"/>
    <x v="0"/>
    <n v="2"/>
    <x v="1"/>
    <s v="Yes"/>
    <n v="310"/>
    <n v="2"/>
    <n v="1"/>
    <n v="225"/>
    <n v="313"/>
    <n v="300"/>
    <x v="26"/>
    <m/>
    <n v="7.2"/>
    <n v="7.2"/>
  </r>
  <r>
    <n v="28"/>
    <s v="Central"/>
    <s v="Hills"/>
    <s v="PS1017"/>
    <x v="0"/>
    <n v="2"/>
    <x v="1"/>
    <s v="Yes"/>
    <n v="300"/>
    <n v="3"/>
    <n v="2"/>
    <s v="225/225=450"/>
    <n v="622"/>
    <n v="580"/>
    <x v="13"/>
    <m/>
    <n v="13.92"/>
    <n v="13.92"/>
  </r>
  <r>
    <m/>
    <s v="Central"/>
    <s v="Kerrs"/>
    <s v="PS1022"/>
    <x v="1"/>
    <n v="4"/>
    <x v="3"/>
    <s v="û"/>
    <m/>
    <n v="3"/>
    <n v="2"/>
    <s v="225/225=450"/>
    <n v="410"/>
    <n v="345.625"/>
    <x v="27"/>
    <s v="renewal planned for completion FY27"/>
    <n v="8.2949999999999999"/>
    <n v="8.2949999999999999"/>
  </r>
  <r>
    <n v="29"/>
    <s v="Central"/>
    <s v="Mays"/>
    <s v="PS1026"/>
    <x v="0"/>
    <n v="2"/>
    <x v="1"/>
    <s v="Yes"/>
    <n v="350"/>
    <n v="3"/>
    <n v="2"/>
    <s v="225/225=450"/>
    <n v="551"/>
    <n v="225"/>
    <x v="28"/>
    <s v="3'rd well being developed"/>
    <n v="5.4"/>
    <n v="13.2"/>
  </r>
  <r>
    <n v="30"/>
    <s v="Central"/>
    <s v="Montreal"/>
    <s v="PS1027"/>
    <x v="0"/>
    <n v="1"/>
    <x v="0"/>
    <s v="û"/>
    <m/>
    <n v="2"/>
    <s v="n/a"/>
    <s v="n/a"/>
    <n v="449"/>
    <n v="449"/>
    <x v="29"/>
    <m/>
    <n v="10.776"/>
    <n v="10.776"/>
  </r>
  <r>
    <n v="31"/>
    <s v="Central"/>
    <s v="Spreydon"/>
    <s v="PS1030"/>
    <x v="0"/>
    <n v="2"/>
    <x v="1"/>
    <s v="Yes"/>
    <m/>
    <n v="5"/>
    <n v="2"/>
    <s v="225/225=450"/>
    <n v="455"/>
    <n v="225"/>
    <x v="7"/>
    <s v="2 wells being developed"/>
    <n v="5.4"/>
    <n v="10.8"/>
  </r>
  <r>
    <n v="32"/>
    <s v="Central"/>
    <s v="Sydenham"/>
    <s v="PS1031"/>
    <x v="0"/>
    <n v="2"/>
    <x v="1"/>
    <s v="Yes"/>
    <n v="315"/>
    <n v="4"/>
    <n v="2"/>
    <s v="225/225=450"/>
    <n v="487"/>
    <n v="450"/>
    <x v="7"/>
    <s v="suction tank being renewed"/>
    <n v="10.8"/>
    <n v="10.8"/>
  </r>
  <r>
    <n v="33"/>
    <s v="Central"/>
    <s v="Trafalgar"/>
    <s v="PS1035"/>
    <x v="0"/>
    <n v="2"/>
    <x v="1"/>
    <s v="Yes"/>
    <n v="250"/>
    <n v="3"/>
    <n v="2"/>
    <s v="225/225=450"/>
    <n v="510"/>
    <n v="450"/>
    <x v="7"/>
    <m/>
    <n v="10.8"/>
    <n v="10.8"/>
  </r>
  <r>
    <n v="34"/>
    <s v="Central"/>
    <s v="Worcester"/>
    <s v="PS1037"/>
    <x v="0"/>
    <n v="4"/>
    <x v="3"/>
    <s v="û"/>
    <m/>
    <n v="3"/>
    <n v="2"/>
    <s v="225/225=450"/>
    <n v="511"/>
    <n v="511"/>
    <x v="30"/>
    <m/>
    <n v="12.263999999999999"/>
    <n v="12.263999999999999"/>
  </r>
  <r>
    <n v="35"/>
    <s v="Central"/>
    <s v="Tanner"/>
    <s v="PS1095"/>
    <x v="0"/>
    <n v="1"/>
    <x v="0"/>
    <s v="û"/>
    <m/>
    <n v="2"/>
    <s v="n/a"/>
    <s v="n/a"/>
    <n v="137"/>
    <n v="137"/>
    <x v="31"/>
    <m/>
    <n v="3.2879999999999998"/>
    <n v="3.2879999999999998"/>
  </r>
  <r>
    <n v="36"/>
    <s v="Riccarton"/>
    <s v="Picton"/>
    <s v="PS1088"/>
    <x v="0"/>
    <n v="3"/>
    <x v="2"/>
    <s v="û"/>
    <m/>
    <n v="3"/>
    <n v="2"/>
    <s v="220/220 +190 = 630"/>
    <n v="557.67758209228521"/>
    <n v="557.67758209228521"/>
    <x v="32"/>
    <m/>
    <n v="13.384261970214844"/>
    <n v="13.384261970214844"/>
  </r>
  <r>
    <n v="37"/>
    <s v="Riccarton"/>
    <s v="Tara"/>
    <s v="PS1089"/>
    <x v="0"/>
    <n v="1"/>
    <x v="0"/>
    <s v="û"/>
    <m/>
    <n v="1"/>
    <s v="n/a"/>
    <s v="n/a"/>
    <n v="249"/>
    <n v="120"/>
    <x v="33"/>
    <m/>
    <n v="2.88"/>
    <n v="2.88"/>
  </r>
  <r>
    <n v="38"/>
    <s v="Ferrymead"/>
    <s v="St Johns"/>
    <s v="PS1063"/>
    <x v="0"/>
    <n v="2"/>
    <x v="1"/>
    <s v="Yes"/>
    <n v="180"/>
    <n v="3"/>
    <n v="2"/>
    <s v="225/450=675"/>
    <n v="634"/>
    <n v="666.66666666666663"/>
    <x v="34"/>
    <s v="max PS capacity = well consent"/>
    <n v="16"/>
    <n v="16"/>
  </r>
  <r>
    <n v="39"/>
    <s v="Ferrymead"/>
    <s v="Woolston"/>
    <s v="PS1065"/>
    <x v="0"/>
    <n v="2"/>
    <x v="1"/>
    <s v="Yes"/>
    <n v="400"/>
    <n v="3"/>
    <n v="3"/>
    <s v="250/250/250=750"/>
    <n v="639"/>
    <n v="545"/>
    <x v="35"/>
    <m/>
    <n v="13.08"/>
    <n v="13.08"/>
  </r>
  <r>
    <m/>
    <s v="Parklands"/>
    <s v="Burwood"/>
    <s v="PS1081"/>
    <x v="3"/>
    <n v="4"/>
    <x v="3"/>
    <s v="û"/>
    <m/>
    <n v="2"/>
    <n v="3"/>
    <s v="45/95/275 = 415"/>
    <n v="352"/>
    <n v="0"/>
    <x v="1"/>
    <s v="planning underway to decommision"/>
    <n v="0"/>
    <n v="0"/>
  </r>
  <r>
    <m/>
    <s v="Parklands"/>
    <s v="Mairehau"/>
    <s v="PS1083"/>
    <x v="3"/>
    <n v="4"/>
    <x v="3"/>
    <s v="û"/>
    <m/>
    <n v="1"/>
    <n v="1"/>
    <n v="270"/>
    <n v="241"/>
    <n v="0"/>
    <x v="1"/>
    <s v="planning underway to decommision"/>
    <n v="0"/>
    <n v="0"/>
  </r>
  <r>
    <n v="40"/>
    <s v="Parklands"/>
    <s v="Marshlands"/>
    <s v="PS1084"/>
    <x v="0"/>
    <n v="4"/>
    <x v="3"/>
    <s v="û"/>
    <m/>
    <n v="2"/>
    <n v="2"/>
    <s v="220/220 = 440"/>
    <n v="412"/>
    <n v="440"/>
    <x v="36"/>
    <m/>
    <n v="10.56"/>
    <n v="10.56"/>
  </r>
  <r>
    <n v="41"/>
    <s v="Parklands"/>
    <s v="Parklands"/>
    <s v="PS1085"/>
    <x v="0"/>
    <n v="4"/>
    <x v="3"/>
    <s v="û"/>
    <m/>
    <n v="3"/>
    <n v="3"/>
    <s v="164/355/200 = 719"/>
    <n v="499"/>
    <n v="500"/>
    <x v="8"/>
    <m/>
    <n v="12"/>
    <n v="12"/>
  </r>
  <r>
    <n v="42"/>
    <s v="Parklands"/>
    <s v="Prestons"/>
    <s v="PS1123"/>
    <x v="0"/>
    <n v="2"/>
    <x v="1"/>
    <s v="Yes"/>
    <n v="500"/>
    <n v="4"/>
    <n v="3"/>
    <s v="200/200/200 = 600"/>
    <n v="768"/>
    <n v="768"/>
    <x v="37"/>
    <m/>
    <n v="18.431999999999999"/>
    <n v="18.431999999999999"/>
  </r>
  <r>
    <n v="43"/>
    <s v="Kainga/Brooklands"/>
    <s v="Brooklands"/>
    <s v="PS1066"/>
    <x v="0"/>
    <n v="1"/>
    <x v="0"/>
    <s v="û"/>
    <m/>
    <n v="1"/>
    <s v="n/a"/>
    <s v="n/a"/>
    <n v="142"/>
    <n v="180"/>
    <x v="38"/>
    <m/>
    <n v="4.32"/>
    <n v="4.32"/>
  </r>
  <r>
    <n v="44"/>
    <s v="Kainga/Brooklands"/>
    <s v="Kainga"/>
    <s v="PS1067"/>
    <x v="0"/>
    <n v="1"/>
    <x v="0"/>
    <s v="û"/>
    <m/>
    <n v="1"/>
    <s v="n/a"/>
    <s v="n/a"/>
    <n v="112"/>
    <n v="108"/>
    <x v="39"/>
    <m/>
    <n v="2.5920000000000001"/>
    <n v="2.5920000000000001"/>
  </r>
  <r>
    <n v="45"/>
    <m/>
    <s v="Akaroa L’Aube Hill WTP"/>
    <m/>
    <x v="0"/>
    <m/>
    <x v="4"/>
    <m/>
    <m/>
    <m/>
    <m/>
    <m/>
    <m/>
    <n v="87.5"/>
    <x v="40"/>
    <s v="comprises two membrane skids with minimum capacity of 400 m3/day and maximum 2,100 m3/day."/>
    <n v="2.1"/>
    <n v="2.1"/>
  </r>
  <r>
    <m/>
    <m/>
    <m/>
    <m/>
    <x v="4"/>
    <m/>
    <x v="4"/>
    <m/>
    <m/>
    <m/>
    <m/>
    <m/>
    <m/>
    <m/>
    <x v="4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1E0A1F-1FA0-4B66-B332-0ABC35451AEF}"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A3:G8" firstHeaderRow="1" firstDataRow="2" firstDataCol="1" rowPageCount="1" colPageCount="1"/>
  <pivotFields count="19">
    <pivotField showAll="0" defaultSubtotal="0"/>
    <pivotField showAll="0" defaultSubtotal="0"/>
    <pivotField dataField="1" showAll="0" defaultSubtotal="0"/>
    <pivotField showAll="0" defaultSubtotal="0"/>
    <pivotField axis="axisPage" showAll="0" defaultSubtotal="0">
      <items count="5">
        <item x="2"/>
        <item x="3"/>
        <item x="1"/>
        <item x="0"/>
        <item x="4"/>
      </items>
    </pivotField>
    <pivotField showAll="0" defaultSubtotal="0"/>
    <pivotField axis="axisCol" showAll="0" defaultSubtotal="0">
      <items count="5">
        <item x="3"/>
        <item x="2"/>
        <item x="0"/>
        <item x="1"/>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42">
        <item x="1"/>
        <item x="40"/>
        <item x="39"/>
        <item x="33"/>
        <item x="31"/>
        <item x="38"/>
        <item x="23"/>
        <item x="16"/>
        <item x="24"/>
        <item x="11"/>
        <item x="26"/>
        <item x="12"/>
        <item x="27"/>
        <item x="0"/>
        <item x="10"/>
        <item x="2"/>
        <item x="3"/>
        <item x="9"/>
        <item x="36"/>
        <item x="29"/>
        <item x="7"/>
        <item x="20"/>
        <item x="14"/>
        <item x="8"/>
        <item x="17"/>
        <item x="30"/>
        <item x="5"/>
        <item x="25"/>
        <item x="35"/>
        <item x="28"/>
        <item x="15"/>
        <item x="32"/>
        <item x="13"/>
        <item x="34"/>
        <item x="37"/>
        <item x="4"/>
        <item x="6"/>
        <item x="22"/>
        <item x="19"/>
        <item x="21"/>
        <item x="18"/>
        <item x="41"/>
      </items>
    </pivotField>
    <pivotField showAll="0" defaultSubtotal="0"/>
    <pivotField showAll="0" defaultSubtotal="0"/>
    <pivotField showAll="0" defaultSubtotal="0"/>
    <pivotField axis="axisRow" showAll="0" defaultSubtotal="0">
      <items count="7">
        <item sd="0" x="0"/>
        <item n="85-300 m3/hr" sd="0" x="4"/>
        <item n="300-588 m3/hr" sd="0" x="5"/>
        <item n="666-1320 m3/hr" sd="0" x="6"/>
        <item sd="0" x="2"/>
        <item sd="0" x="1"/>
        <item sd="0" x="3"/>
      </items>
    </pivotField>
  </pivotFields>
  <rowFields count="2">
    <field x="18"/>
    <field x="14"/>
  </rowFields>
  <rowItems count="4">
    <i>
      <x v="1"/>
    </i>
    <i>
      <x v="2"/>
    </i>
    <i>
      <x v="3"/>
    </i>
    <i t="grand">
      <x/>
    </i>
  </rowItems>
  <colFields count="1">
    <field x="6"/>
  </colFields>
  <colItems count="6">
    <i>
      <x/>
    </i>
    <i>
      <x v="1"/>
    </i>
    <i>
      <x v="2"/>
    </i>
    <i>
      <x v="3"/>
    </i>
    <i>
      <x v="4"/>
    </i>
    <i t="grand">
      <x/>
    </i>
  </colItems>
  <pageFields count="1">
    <pageField fld="4" item="3" hier="-1"/>
  </pageFields>
  <dataFields count="1">
    <dataField name="Count of PS Name" fld="2" subtotal="count" baseField="0" baseItem="0"/>
  </dataFields>
  <formats count="3">
    <format dxfId="2">
      <pivotArea dataOnly="0" labelOnly="1" fieldPosition="0">
        <references count="1">
          <reference field="6" count="0"/>
        </references>
      </pivotArea>
    </format>
    <format dxfId="1">
      <pivotArea dataOnly="0" labelOnly="1" grandCol="1" outline="0" fieldPosition="0"/>
    </format>
    <format dxfId="0">
      <pivotArea dataOnly="0" labelOnly="1" fieldPosition="0">
        <references count="2">
          <reference field="14" count="10">
            <x v="1"/>
            <x v="2"/>
            <x v="3"/>
            <x v="4"/>
            <x v="5"/>
            <x v="6"/>
            <x v="7"/>
            <x v="8"/>
            <x v="9"/>
            <x v="10"/>
          </reference>
          <reference field="18" count="1" selected="0">
            <x v="1"/>
          </reference>
        </references>
      </pivotArea>
    </format>
  </formats>
  <chartFormats count="46">
    <chartFormat chart="0" format="37" series="1">
      <pivotArea type="data" outline="0" fieldPosition="0">
        <references count="3">
          <reference field="4294967294" count="1" selected="0">
            <x v="0"/>
          </reference>
          <reference field="6" count="1" selected="0">
            <x v="3"/>
          </reference>
          <reference field="14" count="1" selected="0">
            <x v="37"/>
          </reference>
        </references>
      </pivotArea>
    </chartFormat>
    <chartFormat chart="0" format="38" series="1">
      <pivotArea type="data" outline="0" fieldPosition="0">
        <references count="3">
          <reference field="4294967294" count="1" selected="0">
            <x v="0"/>
          </reference>
          <reference field="6" count="1" selected="0">
            <x v="3"/>
          </reference>
          <reference field="14" count="1" selected="0">
            <x v="38"/>
          </reference>
        </references>
      </pivotArea>
    </chartFormat>
    <chartFormat chart="0" format="39" series="1">
      <pivotArea type="data" outline="0" fieldPosition="0">
        <references count="3">
          <reference field="4294967294" count="1" selected="0">
            <x v="0"/>
          </reference>
          <reference field="6" count="1" selected="0">
            <x v="3"/>
          </reference>
          <reference field="14" count="1" selected="0">
            <x v="39"/>
          </reference>
        </references>
      </pivotArea>
    </chartFormat>
    <chartFormat chart="0" format="40" series="1">
      <pivotArea type="data" outline="0" fieldPosition="0">
        <references count="3">
          <reference field="4294967294" count="1" selected="0">
            <x v="0"/>
          </reference>
          <reference field="6" count="1" selected="0">
            <x v="3"/>
          </reference>
          <reference field="14" count="1" selected="0">
            <x v="40"/>
          </reference>
        </references>
      </pivotArea>
    </chartFormat>
    <chartFormat chart="0" format="41" series="1">
      <pivotArea type="data" outline="0" fieldPosition="0">
        <references count="3">
          <reference field="4294967294" count="1" selected="0">
            <x v="0"/>
          </reference>
          <reference field="6" count="1" selected="0">
            <x v="4"/>
          </reference>
          <reference field="14" count="1" selected="0">
            <x v="1"/>
          </reference>
        </references>
      </pivotArea>
    </chartFormat>
    <chartFormat chart="0" format="42" series="1">
      <pivotArea type="data" outline="0" fieldPosition="0">
        <references count="3">
          <reference field="4294967294" count="1" selected="0">
            <x v="0"/>
          </reference>
          <reference field="6" count="1" selected="0">
            <x v="2"/>
          </reference>
          <reference field="14" count="1" selected="0">
            <x v="2"/>
          </reference>
        </references>
      </pivotArea>
    </chartFormat>
    <chartFormat chart="0" format="43" series="1">
      <pivotArea type="data" outline="0" fieldPosition="0">
        <references count="3">
          <reference field="4294967294" count="1" selected="0">
            <x v="0"/>
          </reference>
          <reference field="6" count="1" selected="0">
            <x v="2"/>
          </reference>
          <reference field="14" count="1" selected="0">
            <x v="3"/>
          </reference>
        </references>
      </pivotArea>
    </chartFormat>
    <chartFormat chart="0" format="44" series="1">
      <pivotArea type="data" outline="0" fieldPosition="0">
        <references count="3">
          <reference field="4294967294" count="1" selected="0">
            <x v="0"/>
          </reference>
          <reference field="6" count="1" selected="0">
            <x v="2"/>
          </reference>
          <reference field="14" count="1" selected="0">
            <x v="4"/>
          </reference>
        </references>
      </pivotArea>
    </chartFormat>
    <chartFormat chart="0" format="45" series="1">
      <pivotArea type="data" outline="0" fieldPosition="0">
        <references count="3">
          <reference field="4294967294" count="1" selected="0">
            <x v="0"/>
          </reference>
          <reference field="6" count="1" selected="0">
            <x v="2"/>
          </reference>
          <reference field="14" count="1" selected="0">
            <x v="5"/>
          </reference>
        </references>
      </pivotArea>
    </chartFormat>
    <chartFormat chart="0" format="46" series="1">
      <pivotArea type="data" outline="0" fieldPosition="0">
        <references count="3">
          <reference field="4294967294" count="1" selected="0">
            <x v="0"/>
          </reference>
          <reference field="6" count="1" selected="0">
            <x v="2"/>
          </reference>
          <reference field="14" count="1" selected="0">
            <x v="6"/>
          </reference>
        </references>
      </pivotArea>
    </chartFormat>
    <chartFormat chart="0" format="47" series="1">
      <pivotArea type="data" outline="0" fieldPosition="0">
        <references count="3">
          <reference field="4294967294" count="1" selected="0">
            <x v="0"/>
          </reference>
          <reference field="6" count="1" selected="0">
            <x v="3"/>
          </reference>
          <reference field="14" count="1" selected="0">
            <x v="7"/>
          </reference>
        </references>
      </pivotArea>
    </chartFormat>
    <chartFormat chart="0" format="48" series="1">
      <pivotArea type="data" outline="0" fieldPosition="0">
        <references count="3">
          <reference field="4294967294" count="1" selected="0">
            <x v="0"/>
          </reference>
          <reference field="6" count="1" selected="0">
            <x v="0"/>
          </reference>
          <reference field="14" count="1" selected="0">
            <x v="8"/>
          </reference>
        </references>
      </pivotArea>
    </chartFormat>
    <chartFormat chart="0" format="49" series="1">
      <pivotArea type="data" outline="0" fieldPosition="0">
        <references count="3">
          <reference field="4294967294" count="1" selected="0">
            <x v="0"/>
          </reference>
          <reference field="6" count="1" selected="0">
            <x v="3"/>
          </reference>
          <reference field="14" count="1" selected="0">
            <x v="8"/>
          </reference>
        </references>
      </pivotArea>
    </chartFormat>
    <chartFormat chart="0" format="50" series="1">
      <pivotArea type="data" outline="0" fieldPosition="0">
        <references count="3">
          <reference field="4294967294" count="1" selected="0">
            <x v="0"/>
          </reference>
          <reference field="6" count="1" selected="0">
            <x v="0"/>
          </reference>
          <reference field="14" count="1" selected="0">
            <x v="9"/>
          </reference>
        </references>
      </pivotArea>
    </chartFormat>
    <chartFormat chart="0" format="51" series="1">
      <pivotArea type="data" outline="0" fieldPosition="0">
        <references count="3">
          <reference field="4294967294" count="1" selected="0">
            <x v="0"/>
          </reference>
          <reference field="6" count="1" selected="0">
            <x v="3"/>
          </reference>
          <reference field="14" count="1" selected="0">
            <x v="10"/>
          </reference>
        </references>
      </pivotArea>
    </chartFormat>
    <chartFormat chart="0" format="52" series="1">
      <pivotArea type="data" outline="0" fieldPosition="0">
        <references count="3">
          <reference field="4294967294" count="1" selected="0">
            <x v="0"/>
          </reference>
          <reference field="6" count="1" selected="0">
            <x v="0"/>
          </reference>
          <reference field="14" count="1" selected="0">
            <x v="11"/>
          </reference>
        </references>
      </pivotArea>
    </chartFormat>
    <chartFormat chart="0" format="53" series="1">
      <pivotArea type="data" outline="0" fieldPosition="0">
        <references count="3">
          <reference field="4294967294" count="1" selected="0">
            <x v="0"/>
          </reference>
          <reference field="6" count="1" selected="0">
            <x v="2"/>
          </reference>
          <reference field="14" count="1" selected="0">
            <x v="13"/>
          </reference>
        </references>
      </pivotArea>
    </chartFormat>
    <chartFormat chart="0" format="54" series="1">
      <pivotArea type="data" outline="0" fieldPosition="0">
        <references count="3">
          <reference field="4294967294" count="1" selected="0">
            <x v="0"/>
          </reference>
          <reference field="6" count="1" selected="0">
            <x v="3"/>
          </reference>
          <reference field="14" count="1" selected="0">
            <x v="13"/>
          </reference>
        </references>
      </pivotArea>
    </chartFormat>
    <chartFormat chart="0" format="55" series="1">
      <pivotArea type="data" outline="0" fieldPosition="0">
        <references count="3">
          <reference field="4294967294" count="1" selected="0">
            <x v="0"/>
          </reference>
          <reference field="6" count="1" selected="0">
            <x v="2"/>
          </reference>
          <reference field="14" count="1" selected="0">
            <x v="14"/>
          </reference>
        </references>
      </pivotArea>
    </chartFormat>
    <chartFormat chart="0" format="56" series="1">
      <pivotArea type="data" outline="0" fieldPosition="0">
        <references count="3">
          <reference field="4294967294" count="1" selected="0">
            <x v="0"/>
          </reference>
          <reference field="6" count="1" selected="0">
            <x v="2"/>
          </reference>
          <reference field="14" count="1" selected="0">
            <x v="15"/>
          </reference>
        </references>
      </pivotArea>
    </chartFormat>
    <chartFormat chart="0" format="57" series="1">
      <pivotArea type="data" outline="0" fieldPosition="0">
        <references count="3">
          <reference field="4294967294" count="1" selected="0">
            <x v="0"/>
          </reference>
          <reference field="6" count="1" selected="0">
            <x v="1"/>
          </reference>
          <reference field="14" count="1" selected="0">
            <x v="16"/>
          </reference>
        </references>
      </pivotArea>
    </chartFormat>
    <chartFormat chart="0" format="58" series="1">
      <pivotArea type="data" outline="0" fieldPosition="0">
        <references count="3">
          <reference field="4294967294" count="1" selected="0">
            <x v="0"/>
          </reference>
          <reference field="6" count="1" selected="0">
            <x v="2"/>
          </reference>
          <reference field="14" count="1" selected="0">
            <x v="17"/>
          </reference>
        </references>
      </pivotArea>
    </chartFormat>
    <chartFormat chart="0" format="59" series="1">
      <pivotArea type="data" outline="0" fieldPosition="0">
        <references count="3">
          <reference field="4294967294" count="1" selected="0">
            <x v="0"/>
          </reference>
          <reference field="6" count="1" selected="0">
            <x v="0"/>
          </reference>
          <reference field="14" count="1" selected="0">
            <x v="18"/>
          </reference>
        </references>
      </pivotArea>
    </chartFormat>
    <chartFormat chart="0" format="60" series="1">
      <pivotArea type="data" outline="0" fieldPosition="0">
        <references count="3">
          <reference field="4294967294" count="1" selected="0">
            <x v="0"/>
          </reference>
          <reference field="6" count="1" selected="0">
            <x v="2"/>
          </reference>
          <reference field="14" count="1" selected="0">
            <x v="19"/>
          </reference>
        </references>
      </pivotArea>
    </chartFormat>
    <chartFormat chart="0" format="61" series="1">
      <pivotArea type="data" outline="0" fieldPosition="0">
        <references count="3">
          <reference field="4294967294" count="1" selected="0">
            <x v="0"/>
          </reference>
          <reference field="6" count="1" selected="0">
            <x v="3"/>
          </reference>
          <reference field="14" count="1" selected="0">
            <x v="20"/>
          </reference>
        </references>
      </pivotArea>
    </chartFormat>
    <chartFormat chart="0" format="62" series="1">
      <pivotArea type="data" outline="0" fieldPosition="0">
        <references count="3">
          <reference field="4294967294" count="1" selected="0">
            <x v="0"/>
          </reference>
          <reference field="6" count="1" selected="0">
            <x v="3"/>
          </reference>
          <reference field="14" count="1" selected="0">
            <x v="21"/>
          </reference>
        </references>
      </pivotArea>
    </chartFormat>
    <chartFormat chart="0" format="63" series="1">
      <pivotArea type="data" outline="0" fieldPosition="0">
        <references count="3">
          <reference field="4294967294" count="1" selected="0">
            <x v="0"/>
          </reference>
          <reference field="6" count="1" selected="0">
            <x v="3"/>
          </reference>
          <reference field="14" count="1" selected="0">
            <x v="22"/>
          </reference>
        </references>
      </pivotArea>
    </chartFormat>
    <chartFormat chart="0" format="64" series="1">
      <pivotArea type="data" outline="0" fieldPosition="0">
        <references count="3">
          <reference field="4294967294" count="1" selected="0">
            <x v="0"/>
          </reference>
          <reference field="6" count="1" selected="0">
            <x v="0"/>
          </reference>
          <reference field="14" count="1" selected="0">
            <x v="23"/>
          </reference>
        </references>
      </pivotArea>
    </chartFormat>
    <chartFormat chart="0" format="65" series="1">
      <pivotArea type="data" outline="0" fieldPosition="0">
        <references count="3">
          <reference field="4294967294" count="1" selected="0">
            <x v="0"/>
          </reference>
          <reference field="6" count="1" selected="0">
            <x v="3"/>
          </reference>
          <reference field="14" count="1" selected="0">
            <x v="23"/>
          </reference>
        </references>
      </pivotArea>
    </chartFormat>
    <chartFormat chart="0" format="66" series="1">
      <pivotArea type="data" outline="0" fieldPosition="0">
        <references count="3">
          <reference field="4294967294" count="1" selected="0">
            <x v="0"/>
          </reference>
          <reference field="6" count="1" selected="0">
            <x v="0"/>
          </reference>
          <reference field="14" count="1" selected="0">
            <x v="25"/>
          </reference>
        </references>
      </pivotArea>
    </chartFormat>
    <chartFormat chart="0" format="67" series="1">
      <pivotArea type="data" outline="0" fieldPosition="0">
        <references count="3">
          <reference field="4294967294" count="1" selected="0">
            <x v="0"/>
          </reference>
          <reference field="6" count="1" selected="0">
            <x v="2"/>
          </reference>
          <reference field="14" count="1" selected="0">
            <x v="26"/>
          </reference>
        </references>
      </pivotArea>
    </chartFormat>
    <chartFormat chart="0" format="68" series="1">
      <pivotArea type="data" outline="0" fieldPosition="0">
        <references count="3">
          <reference field="4294967294" count="1" selected="0">
            <x v="0"/>
          </reference>
          <reference field="6" count="1" selected="0">
            <x v="3"/>
          </reference>
          <reference field="14" count="1" selected="0">
            <x v="27"/>
          </reference>
        </references>
      </pivotArea>
    </chartFormat>
    <chartFormat chart="0" format="69" series="1">
      <pivotArea type="data" outline="0" fieldPosition="0">
        <references count="3">
          <reference field="4294967294" count="1" selected="0">
            <x v="0"/>
          </reference>
          <reference field="6" count="1" selected="0">
            <x v="3"/>
          </reference>
          <reference field="14" count="1" selected="0">
            <x v="28"/>
          </reference>
        </references>
      </pivotArea>
    </chartFormat>
    <chartFormat chart="0" format="70" series="1">
      <pivotArea type="data" outline="0" fieldPosition="0">
        <references count="3">
          <reference field="4294967294" count="1" selected="0">
            <x v="0"/>
          </reference>
          <reference field="6" count="1" selected="0">
            <x v="3"/>
          </reference>
          <reference field="14" count="1" selected="0">
            <x v="29"/>
          </reference>
        </references>
      </pivotArea>
    </chartFormat>
    <chartFormat chart="0" format="71" series="1">
      <pivotArea type="data" outline="0" fieldPosition="0">
        <references count="3">
          <reference field="4294967294" count="1" selected="0">
            <x v="0"/>
          </reference>
          <reference field="6" count="1" selected="0">
            <x v="3"/>
          </reference>
          <reference field="14" count="1" selected="0">
            <x v="30"/>
          </reference>
        </references>
      </pivotArea>
    </chartFormat>
    <chartFormat chart="0" format="72" series="1">
      <pivotArea type="data" outline="0" fieldPosition="0">
        <references count="3">
          <reference field="4294967294" count="1" selected="0">
            <x v="0"/>
          </reference>
          <reference field="6" count="1" selected="0">
            <x v="1"/>
          </reference>
          <reference field="14" count="1" selected="0">
            <x v="31"/>
          </reference>
        </references>
      </pivotArea>
    </chartFormat>
    <chartFormat chart="0" format="73" series="1">
      <pivotArea type="data" outline="0" fieldPosition="0">
        <references count="3">
          <reference field="4294967294" count="1" selected="0">
            <x v="0"/>
          </reference>
          <reference field="6" count="1" selected="0">
            <x v="3"/>
          </reference>
          <reference field="14" count="1" selected="0">
            <x v="32"/>
          </reference>
        </references>
      </pivotArea>
    </chartFormat>
    <chartFormat chart="0" format="74" series="1">
      <pivotArea type="data" outline="0" fieldPosition="0">
        <references count="3">
          <reference field="4294967294" count="1" selected="0">
            <x v="0"/>
          </reference>
          <reference field="6" count="1" selected="0">
            <x v="3"/>
          </reference>
          <reference field="14" count="1" selected="0">
            <x v="33"/>
          </reference>
        </references>
      </pivotArea>
    </chartFormat>
    <chartFormat chart="0" format="75" series="1">
      <pivotArea type="data" outline="0" fieldPosition="0">
        <references count="3">
          <reference field="4294967294" count="1" selected="0">
            <x v="0"/>
          </reference>
          <reference field="6" count="1" selected="0">
            <x v="3"/>
          </reference>
          <reference field="14" count="1" selected="0">
            <x v="34"/>
          </reference>
        </references>
      </pivotArea>
    </chartFormat>
    <chartFormat chart="0" format="76" series="1">
      <pivotArea type="data" outline="0" fieldPosition="0">
        <references count="3">
          <reference field="4294967294" count="1" selected="0">
            <x v="0"/>
          </reference>
          <reference field="6" count="1" selected="0">
            <x v="2"/>
          </reference>
          <reference field="14" count="1" selected="0">
            <x v="35"/>
          </reference>
        </references>
      </pivotArea>
    </chartFormat>
    <chartFormat chart="0" format="77" series="1">
      <pivotArea type="data" outline="0" fieldPosition="0">
        <references count="3">
          <reference field="4294967294" count="1" selected="0">
            <x v="0"/>
          </reference>
          <reference field="6" count="1" selected="0">
            <x v="2"/>
          </reference>
          <reference field="14" count="1" selected="0">
            <x v="36"/>
          </reference>
        </references>
      </pivotArea>
    </chartFormat>
    <chartFormat chart="0" format="78" series="1">
      <pivotArea type="data" outline="0" fieldPosition="0">
        <references count="2">
          <reference field="4294967294" count="1" selected="0">
            <x v="0"/>
          </reference>
          <reference field="6" count="1" selected="0">
            <x v="0"/>
          </reference>
        </references>
      </pivotArea>
    </chartFormat>
    <chartFormat chart="0" format="79" series="1">
      <pivotArea type="data" outline="0" fieldPosition="0">
        <references count="2">
          <reference field="4294967294" count="1" selected="0">
            <x v="0"/>
          </reference>
          <reference field="6" count="1" selected="0">
            <x v="1"/>
          </reference>
        </references>
      </pivotArea>
    </chartFormat>
    <chartFormat chart="0" format="80" series="1">
      <pivotArea type="data" outline="0" fieldPosition="0">
        <references count="2">
          <reference field="4294967294" count="1" selected="0">
            <x v="0"/>
          </reference>
          <reference field="6" count="1" selected="0">
            <x v="2"/>
          </reference>
        </references>
      </pivotArea>
    </chartFormat>
    <chartFormat chart="0" format="81" series="1">
      <pivotArea type="data" outline="0" fieldPosition="0">
        <references count="2">
          <reference field="4294967294" count="1" selected="0">
            <x v="0"/>
          </reference>
          <reference field="6" count="1" selected="0">
            <x v="3"/>
          </reference>
        </references>
      </pivotArea>
    </chartFormat>
    <chartFormat chart="0" format="82" series="1">
      <pivotArea type="data" outline="0" fieldPosition="0">
        <references count="2">
          <reference field="4294967294" count="1" selected="0">
            <x v="0"/>
          </reference>
          <reference field="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Jacobs Primary Blue">
      <a:dk1>
        <a:srgbClr val="000000"/>
      </a:dk1>
      <a:lt1>
        <a:srgbClr val="FFFFFF"/>
      </a:lt1>
      <a:dk2>
        <a:srgbClr val="333333"/>
      </a:dk2>
      <a:lt2>
        <a:srgbClr val="E6E6E6"/>
      </a:lt2>
      <a:accent1>
        <a:srgbClr val="231EDC"/>
      </a:accent1>
      <a:accent2>
        <a:srgbClr val="6F006E"/>
      </a:accent2>
      <a:accent3>
        <a:srgbClr val="D72850"/>
      </a:accent3>
      <a:accent4>
        <a:srgbClr val="FFA014"/>
      </a:accent4>
      <a:accent5>
        <a:srgbClr val="007D55"/>
      </a:accent5>
      <a:accent6>
        <a:srgbClr val="A5A5A5"/>
      </a:accent6>
      <a:hlink>
        <a:srgbClr val="231EDC"/>
      </a:hlink>
      <a:folHlink>
        <a:srgbClr val="E5E5E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E146" dT="2022-03-08T00:24:00.69" personId="{1BEB19AF-31B7-4D53-8DF4-A71A5D08FDE0}" id="{E71A8537-C4BE-4C0D-9A74-9F0DBFACCCF3}">
    <text>updated per MIchele's email March 7, 2022</text>
  </threadedComment>
  <threadedComment ref="BF146" dT="2022-03-08T00:23:42.91" personId="{1BEB19AF-31B7-4D53-8DF4-A71A5D08FDE0}" id="{2D24B9D3-2CC5-46D9-83F6-A781D7A3298C}">
    <text>updated per MIchele's email March 7, 2022</text>
  </threadedComment>
  <threadedComment ref="BG146" dT="2022-03-08T00:23:34.44" personId="{1BEB19AF-31B7-4D53-8DF4-A71A5D08FDE0}" id="{BDF43B26-C6F9-4E12-83C5-BCD186AF669E}">
    <text>updated per MIchele's email March 7, 2022</text>
  </threadedComment>
</ThreadedComments>
</file>

<file path=xl/threadedComments/threadedComment2.xml><?xml version="1.0" encoding="utf-8"?>
<ThreadedComments xmlns="http://schemas.microsoft.com/office/spreadsheetml/2018/threadedcomments" xmlns:x="http://schemas.openxmlformats.org/spreadsheetml/2006/main">
  <threadedComment ref="U3" dT="2022-02-22T06:52:22.84" personId="{0E375E5E-E5AF-4A57-846E-34BBBA16BF13}" id="{DB317178-097A-45CF-A5F6-9C0AC6B8EDFD}">
    <text>Located with urban area or semi-rural. close to consumers etc.</text>
  </threadedComment>
  <threadedComment ref="V3" dT="2022-02-22T06:52:41.44" personId="{0E375E5E-E5AF-4A57-846E-34BBBA16BF13}" id="{91BDA803-5472-4A04-8700-278ED76F7A19}">
    <text>Assessment of accessway and space for turning larger vehicles.</text>
  </threadedComment>
  <threadedComment ref="W3" dT="2022-02-22T06:53:42.13" personId="{0E375E5E-E5AF-4A57-846E-34BBBA16BF13}" id="{C830B1DD-6036-4CD7-8047-E277BB307B16}">
    <text>Is there space for building expansion or will a new detached building be required</text>
  </threadedComment>
  <threadedComment ref="X3" dT="2022-02-22T06:53:42.13" personId="{0E375E5E-E5AF-4A57-846E-34BBBA16BF13}" id="{C10BD352-F601-42E6-B94A-50912875798C}">
    <text>Is there space for building expansion or will a new detached building be required</text>
  </threadedComment>
  <threadedComment ref="Y3" dT="2022-02-22T06:53:20.35" personId="{0E375E5E-E5AF-4A57-846E-34BBBA16BF13}" id="{F0BADB69-5F89-46BE-9C97-3B428548A54F}">
    <text>Is the current site boundary suitable for additional 4x4 area anywhere</text>
  </threadedComment>
  <threadedComment ref="AG25" dT="2022-02-22T18:28:53.91" personId="{1BEB19AF-31B7-4D53-8DF4-A71A5D08FDE0}" id="{A08297EA-B880-463B-B9E8-6ED3498CDE74}">
    <text>have a look at the water supply overview schematic. Looks like it's between Thorrington and Palatine</text>
  </threadedComment>
</ThreadedComments>
</file>

<file path=xl/threadedComments/threadedComment3.xml><?xml version="1.0" encoding="utf-8"?>
<ThreadedComments xmlns="http://schemas.microsoft.com/office/spreadsheetml/2018/threadedcomments" xmlns:x="http://schemas.openxmlformats.org/spreadsheetml/2006/main">
  <threadedComment ref="T3" dT="2022-02-22T06:52:22.84" personId="{0E375E5E-E5AF-4A57-846E-34BBBA16BF13}" id="{92D6162B-1FB9-4168-8780-947C4AB189A7}">
    <text>Located with urban area or semi-rural. close to consumers etc.</text>
  </threadedComment>
  <threadedComment ref="U3" dT="2022-02-22T06:52:41.44" personId="{0E375E5E-E5AF-4A57-846E-34BBBA16BF13}" id="{8AD70282-C0FB-4335-9D52-2BCD8E5B8D8A}">
    <text>Assessment of accessway and space for turning larger vehicles.</text>
  </threadedComment>
  <threadedComment ref="V3" dT="2022-02-22T06:53:20.35" personId="{0E375E5E-E5AF-4A57-846E-34BBBA16BF13}" id="{62FFAD19-27CE-4FDF-9677-E8C18A30CED1}">
    <text>Is the current site boundary suitable for additional 4x4 area anywhere</text>
  </threadedComment>
  <threadedComment ref="W3" dT="2022-02-22T06:53:42.13" personId="{0E375E5E-E5AF-4A57-846E-34BBBA16BF13}" id="{632288FD-FE66-4384-8827-875CB1BCDB98}">
    <text>Is there space for building expansion or will a new detached building be required</text>
  </threadedComment>
  <threadedComment ref="AF27" dT="2022-02-22T18:28:53.91" personId="{1BEB19AF-31B7-4D53-8DF4-A71A5D08FDE0}" id="{DD560268-A1C6-4E5D-9697-3EC0D921DD22}">
    <text>have a look at the water supply overview schematic. Looks like it's between Thorrington and Palatine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BE9A-5D81-475D-B58C-1FDB62EC8E37}">
  <dimension ref="B1:C9"/>
  <sheetViews>
    <sheetView zoomScaleNormal="100" workbookViewId="0">
      <selection activeCell="C9" sqref="C9"/>
    </sheetView>
  </sheetViews>
  <sheetFormatPr defaultRowHeight="15"/>
  <cols>
    <col min="1" max="1" width="1.85546875" customWidth="1"/>
    <col min="2" max="2" width="24.85546875" customWidth="1"/>
    <col min="3" max="3" width="76.42578125" customWidth="1"/>
    <col min="4" max="4" width="28.5703125" customWidth="1"/>
  </cols>
  <sheetData>
    <row r="1" spans="2:3" ht="6.6" customHeight="1"/>
    <row r="2" spans="2:3" ht="52.35" customHeight="1"/>
    <row r="3" spans="2:3">
      <c r="B3" s="364" t="s">
        <v>0</v>
      </c>
      <c r="C3" s="56" t="s">
        <v>1</v>
      </c>
    </row>
    <row r="4" spans="2:3">
      <c r="B4" s="364" t="s">
        <v>2</v>
      </c>
      <c r="C4" t="s">
        <v>3</v>
      </c>
    </row>
    <row r="5" spans="2:3">
      <c r="B5" s="364" t="s">
        <v>4</v>
      </c>
      <c r="C5" t="s">
        <v>5</v>
      </c>
    </row>
    <row r="6" spans="2:3">
      <c r="B6" s="364" t="s">
        <v>6</v>
      </c>
      <c r="C6" t="s">
        <v>7</v>
      </c>
    </row>
    <row r="7" spans="2:3">
      <c r="B7" s="364" t="s">
        <v>8</v>
      </c>
      <c r="C7" s="365" t="s">
        <v>9</v>
      </c>
    </row>
    <row r="8" spans="2:3">
      <c r="B8" s="364" t="s">
        <v>10</v>
      </c>
      <c r="C8" t="s">
        <v>11</v>
      </c>
    </row>
    <row r="9" spans="2:3">
      <c r="B9" s="364" t="s">
        <v>12</v>
      </c>
      <c r="C9" t="s">
        <v>13</v>
      </c>
    </row>
  </sheetData>
  <sheetProtection algorithmName="SHA-512" hashValue="YPOZg4gvZSr6r+Ns8et5fi9kl+ZHiCN1bJM8EthcW6buUYohoPPqukdITAO+JoDLHQtY+VXa83THOEDukRCbeQ==" saltValue="wgR4inq9pgW3a7NkOgwljw==" spinCount="100000" sheet="1" objects="1" scenarios="1"/>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649CA-A25C-4B2C-B6E2-73C1D5D13FAE}">
  <sheetPr>
    <pageSetUpPr fitToPage="1"/>
  </sheetPr>
  <dimension ref="A1:F35"/>
  <sheetViews>
    <sheetView topLeftCell="A13" zoomScale="85" zoomScaleNormal="85" workbookViewId="0">
      <selection activeCell="D20" sqref="D20"/>
    </sheetView>
  </sheetViews>
  <sheetFormatPr defaultColWidth="9.140625" defaultRowHeight="12"/>
  <cols>
    <col min="1" max="1" width="4.140625" style="370" customWidth="1"/>
    <col min="2" max="2" width="4.5703125" style="366" bestFit="1" customWidth="1"/>
    <col min="3" max="3" width="20.5703125" style="366" customWidth="1"/>
    <col min="4" max="4" width="82.5703125" style="368" customWidth="1"/>
    <col min="5" max="5" width="14.140625" style="369" customWidth="1"/>
    <col min="6" max="6" width="80" style="368" customWidth="1"/>
    <col min="7" max="16384" width="9.140625" style="370"/>
  </cols>
  <sheetData>
    <row r="1" spans="2:6">
      <c r="C1" s="367"/>
    </row>
    <row r="2" spans="2:6">
      <c r="C2" s="367" t="s">
        <v>2</v>
      </c>
      <c r="D2" s="371" t="s">
        <v>14</v>
      </c>
      <c r="F2" s="372"/>
    </row>
    <row r="3" spans="2:6" ht="27.6" customHeight="1">
      <c r="B3" s="373"/>
      <c r="C3" s="374" t="s">
        <v>15</v>
      </c>
      <c r="D3" s="459" t="s">
        <v>16</v>
      </c>
      <c r="E3" s="460"/>
      <c r="F3" s="460"/>
    </row>
    <row r="4" spans="2:6" ht="7.5" customHeight="1"/>
    <row r="5" spans="2:6">
      <c r="C5" s="375" t="s">
        <v>17</v>
      </c>
      <c r="D5" s="368" t="s">
        <v>18</v>
      </c>
    </row>
    <row r="6" spans="2:6" ht="6.75" customHeight="1"/>
    <row r="7" spans="2:6">
      <c r="C7" s="375" t="s">
        <v>19</v>
      </c>
      <c r="D7" s="368" t="s">
        <v>20</v>
      </c>
    </row>
    <row r="8" spans="2:6" ht="6.75" customHeight="1">
      <c r="B8" s="373"/>
      <c r="C8" s="373"/>
      <c r="D8" s="376"/>
      <c r="E8" s="377"/>
      <c r="F8" s="376"/>
    </row>
    <row r="9" spans="2:6" ht="6.75" customHeight="1"/>
    <row r="10" spans="2:6">
      <c r="C10" s="367" t="s">
        <v>8</v>
      </c>
      <c r="D10" s="378">
        <v>44629</v>
      </c>
      <c r="F10" s="379"/>
    </row>
    <row r="11" spans="2:6">
      <c r="D11" s="380"/>
    </row>
    <row r="12" spans="2:6" ht="104.45" customHeight="1">
      <c r="B12" s="381" t="s">
        <v>21</v>
      </c>
      <c r="C12" s="382" t="s">
        <v>22</v>
      </c>
      <c r="D12" s="383" t="s">
        <v>23</v>
      </c>
      <c r="E12" s="382" t="s">
        <v>24</v>
      </c>
      <c r="F12" s="383" t="s">
        <v>25</v>
      </c>
    </row>
    <row r="13" spans="2:6" ht="38.25">
      <c r="B13" s="384">
        <v>1</v>
      </c>
      <c r="C13" s="385" t="s">
        <v>26</v>
      </c>
      <c r="D13" s="385" t="s">
        <v>27</v>
      </c>
      <c r="E13" s="386" t="s">
        <v>28</v>
      </c>
      <c r="F13" s="385" t="s">
        <v>29</v>
      </c>
    </row>
    <row r="14" spans="2:6" ht="25.5">
      <c r="B14" s="384">
        <f>B13+1</f>
        <v>2</v>
      </c>
      <c r="C14" s="387" t="s">
        <v>26</v>
      </c>
      <c r="D14" s="385" t="s">
        <v>30</v>
      </c>
      <c r="E14" s="386" t="s">
        <v>28</v>
      </c>
      <c r="F14" s="385" t="s">
        <v>31</v>
      </c>
    </row>
    <row r="15" spans="2:6" ht="39.75">
      <c r="B15" s="384">
        <f t="shared" ref="B15:B35" si="0">B14+1</f>
        <v>3</v>
      </c>
      <c r="C15" s="387" t="s">
        <v>32</v>
      </c>
      <c r="D15" s="385" t="s">
        <v>33</v>
      </c>
      <c r="E15" s="386" t="s">
        <v>28</v>
      </c>
      <c r="F15" s="385" t="s">
        <v>34</v>
      </c>
    </row>
    <row r="16" spans="2:6" ht="38.25">
      <c r="B16" s="384">
        <f t="shared" si="0"/>
        <v>4</v>
      </c>
      <c r="C16" s="387" t="s">
        <v>35</v>
      </c>
      <c r="D16" s="385" t="s">
        <v>36</v>
      </c>
      <c r="E16" s="386" t="s">
        <v>28</v>
      </c>
      <c r="F16" s="385" t="s">
        <v>37</v>
      </c>
    </row>
    <row r="17" spans="1:6" ht="25.5">
      <c r="B17" s="384">
        <f t="shared" si="0"/>
        <v>5</v>
      </c>
      <c r="C17" s="387" t="s">
        <v>35</v>
      </c>
      <c r="D17" s="385" t="s">
        <v>38</v>
      </c>
      <c r="E17" s="386" t="s">
        <v>28</v>
      </c>
      <c r="F17" s="385" t="s">
        <v>39</v>
      </c>
    </row>
    <row r="18" spans="1:6" ht="25.5">
      <c r="B18" s="384">
        <f t="shared" si="0"/>
        <v>6</v>
      </c>
      <c r="C18" s="387" t="s">
        <v>40</v>
      </c>
      <c r="D18" s="385" t="s">
        <v>41</v>
      </c>
      <c r="E18" s="386" t="s">
        <v>28</v>
      </c>
      <c r="F18" s="385" t="s">
        <v>42</v>
      </c>
    </row>
    <row r="19" spans="1:6" s="388" customFormat="1" ht="25.5">
      <c r="A19" s="370"/>
      <c r="B19" s="384">
        <f t="shared" si="0"/>
        <v>7</v>
      </c>
      <c r="C19" s="387" t="s">
        <v>43</v>
      </c>
      <c r="D19" s="385" t="s">
        <v>44</v>
      </c>
      <c r="E19" s="386" t="s">
        <v>28</v>
      </c>
      <c r="F19" s="385" t="s">
        <v>45</v>
      </c>
    </row>
    <row r="20" spans="1:6" ht="25.5">
      <c r="B20" s="384">
        <f t="shared" si="0"/>
        <v>8</v>
      </c>
      <c r="C20" s="387" t="s">
        <v>43</v>
      </c>
      <c r="D20" s="385" t="s">
        <v>46</v>
      </c>
      <c r="E20" s="386" t="s">
        <v>28</v>
      </c>
      <c r="F20" s="385" t="s">
        <v>31</v>
      </c>
    </row>
    <row r="21" spans="1:6" ht="25.5">
      <c r="B21" s="384">
        <f t="shared" si="0"/>
        <v>9</v>
      </c>
      <c r="C21" s="387" t="s">
        <v>43</v>
      </c>
      <c r="D21" s="385" t="s">
        <v>47</v>
      </c>
      <c r="E21" s="386" t="s">
        <v>28</v>
      </c>
      <c r="F21" s="385" t="s">
        <v>31</v>
      </c>
    </row>
    <row r="22" spans="1:6" ht="25.5">
      <c r="B22" s="384">
        <f t="shared" si="0"/>
        <v>10</v>
      </c>
      <c r="C22" s="385" t="s">
        <v>48</v>
      </c>
      <c r="D22" s="385" t="s">
        <v>49</v>
      </c>
      <c r="E22" s="386" t="s">
        <v>28</v>
      </c>
      <c r="F22" s="385" t="s">
        <v>50</v>
      </c>
    </row>
    <row r="23" spans="1:6" ht="63.75">
      <c r="B23" s="384">
        <f t="shared" si="0"/>
        <v>11</v>
      </c>
      <c r="C23" s="385" t="s">
        <v>51</v>
      </c>
      <c r="D23" s="385" t="s">
        <v>52</v>
      </c>
      <c r="E23" s="386" t="s">
        <v>28</v>
      </c>
      <c r="F23" s="385" t="s">
        <v>53</v>
      </c>
    </row>
    <row r="24" spans="1:6" s="388" customFormat="1" ht="38.25">
      <c r="A24" s="370"/>
      <c r="B24" s="384">
        <f t="shared" si="0"/>
        <v>12</v>
      </c>
      <c r="C24" s="385" t="s">
        <v>51</v>
      </c>
      <c r="D24" s="385" t="s">
        <v>54</v>
      </c>
      <c r="E24" s="386" t="s">
        <v>28</v>
      </c>
      <c r="F24" s="385" t="s">
        <v>55</v>
      </c>
    </row>
    <row r="25" spans="1:6" ht="38.25">
      <c r="B25" s="384">
        <f t="shared" si="0"/>
        <v>13</v>
      </c>
      <c r="C25" s="389" t="s">
        <v>56</v>
      </c>
      <c r="D25" s="385" t="s">
        <v>57</v>
      </c>
      <c r="E25" s="386" t="s">
        <v>58</v>
      </c>
      <c r="F25" s="390" t="s">
        <v>59</v>
      </c>
    </row>
    <row r="26" spans="1:6" ht="38.25">
      <c r="B26" s="384">
        <f t="shared" si="0"/>
        <v>14</v>
      </c>
      <c r="C26" s="385" t="s">
        <v>60</v>
      </c>
      <c r="D26" s="385" t="s">
        <v>61</v>
      </c>
      <c r="E26" s="386" t="s">
        <v>58</v>
      </c>
      <c r="F26" s="385" t="s">
        <v>62</v>
      </c>
    </row>
    <row r="27" spans="1:6" ht="25.5">
      <c r="B27" s="384">
        <f t="shared" si="0"/>
        <v>15</v>
      </c>
      <c r="C27" s="385" t="s">
        <v>63</v>
      </c>
      <c r="D27" s="385" t="s">
        <v>64</v>
      </c>
      <c r="E27" s="386" t="s">
        <v>58</v>
      </c>
      <c r="F27" s="385" t="s">
        <v>65</v>
      </c>
    </row>
    <row r="28" spans="1:6" ht="63.75">
      <c r="B28" s="384">
        <f t="shared" si="0"/>
        <v>16</v>
      </c>
      <c r="C28" s="385" t="s">
        <v>66</v>
      </c>
      <c r="D28" s="385" t="s">
        <v>67</v>
      </c>
      <c r="E28" s="386" t="s">
        <v>58</v>
      </c>
      <c r="F28" s="385" t="s">
        <v>68</v>
      </c>
    </row>
    <row r="29" spans="1:6" ht="76.5">
      <c r="B29" s="384">
        <f t="shared" si="0"/>
        <v>17</v>
      </c>
      <c r="C29" s="385" t="s">
        <v>66</v>
      </c>
      <c r="D29" s="385" t="s">
        <v>69</v>
      </c>
      <c r="E29" s="386" t="s">
        <v>58</v>
      </c>
      <c r="F29" s="385" t="s">
        <v>31</v>
      </c>
    </row>
    <row r="30" spans="1:6" ht="38.25">
      <c r="B30" s="384">
        <f t="shared" si="0"/>
        <v>18</v>
      </c>
      <c r="C30" s="385" t="s">
        <v>66</v>
      </c>
      <c r="D30" s="385" t="s">
        <v>70</v>
      </c>
      <c r="E30" s="386" t="s">
        <v>58</v>
      </c>
      <c r="F30" s="385" t="s">
        <v>71</v>
      </c>
    </row>
    <row r="31" spans="1:6" ht="25.5">
      <c r="B31" s="384">
        <f t="shared" si="0"/>
        <v>19</v>
      </c>
      <c r="C31" s="385" t="s">
        <v>66</v>
      </c>
      <c r="D31" s="385" t="s">
        <v>72</v>
      </c>
      <c r="E31" s="386" t="s">
        <v>58</v>
      </c>
      <c r="F31" s="385" t="s">
        <v>73</v>
      </c>
    </row>
    <row r="32" spans="1:6" ht="63.75">
      <c r="B32" s="384">
        <f t="shared" si="0"/>
        <v>20</v>
      </c>
      <c r="C32" s="385" t="s">
        <v>74</v>
      </c>
      <c r="D32" s="385" t="s">
        <v>75</v>
      </c>
      <c r="E32" s="386" t="s">
        <v>58</v>
      </c>
      <c r="F32" s="385" t="s">
        <v>76</v>
      </c>
    </row>
    <row r="33" spans="2:6" ht="38.25">
      <c r="B33" s="384">
        <f t="shared" si="0"/>
        <v>21</v>
      </c>
      <c r="C33" s="385" t="s">
        <v>77</v>
      </c>
      <c r="D33" s="385" t="s">
        <v>78</v>
      </c>
      <c r="E33" s="386" t="s">
        <v>58</v>
      </c>
      <c r="F33" s="385" t="s">
        <v>79</v>
      </c>
    </row>
    <row r="34" spans="2:6" ht="38.25">
      <c r="B34" s="384">
        <f t="shared" si="0"/>
        <v>22</v>
      </c>
      <c r="C34" s="385" t="s">
        <v>80</v>
      </c>
      <c r="D34" s="385" t="s">
        <v>81</v>
      </c>
      <c r="E34" s="386" t="s">
        <v>58</v>
      </c>
      <c r="F34" s="385" t="s">
        <v>79</v>
      </c>
    </row>
    <row r="35" spans="2:6" ht="280.5">
      <c r="B35" s="384">
        <f t="shared" si="0"/>
        <v>23</v>
      </c>
      <c r="C35" s="385" t="s">
        <v>82</v>
      </c>
      <c r="D35" s="385" t="s">
        <v>83</v>
      </c>
      <c r="E35" s="386" t="s">
        <v>58</v>
      </c>
      <c r="F35" s="385" t="s">
        <v>84</v>
      </c>
    </row>
  </sheetData>
  <sheetProtection algorithmName="SHA-512" hashValue="klUTuR4CsM8bZB6s18RD7mQK+HzhY3QEWKrXtHmXG5+Mpuu4Xe7jvcTTqh9ZHqQIr8TzmsBtTqMA9xc7JjhpnQ==" saltValue="aBz44dU5XIKMTb+aDyoRvQ==" spinCount="100000" sheet="1" objects="1" scenarios="1"/>
  <mergeCells count="1">
    <mergeCell ref="D3:F3"/>
  </mergeCells>
  <pageMargins left="0.25" right="0.25" top="0.75" bottom="0.75" header="0.3" footer="0.3"/>
  <pageSetup paperSize="17"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4DF6-FC46-4092-B9F5-AA34235B5581}">
  <dimension ref="A1:M61"/>
  <sheetViews>
    <sheetView tabSelected="1" topLeftCell="A31" workbookViewId="0">
      <selection activeCell="B35" sqref="B35"/>
    </sheetView>
  </sheetViews>
  <sheetFormatPr defaultColWidth="8.85546875" defaultRowHeight="15" outlineLevelCol="1"/>
  <cols>
    <col min="1" max="1" width="36.140625" customWidth="1"/>
    <col min="2" max="2" width="13.5703125" customWidth="1"/>
    <col min="3" max="3" width="19.140625" customWidth="1"/>
    <col min="4" max="4" width="18.85546875" bestFit="1" customWidth="1"/>
    <col min="5" max="5" width="15.140625" customWidth="1"/>
    <col min="6" max="6" width="26.42578125" bestFit="1" customWidth="1"/>
    <col min="7" max="7" width="15.42578125" bestFit="1" customWidth="1"/>
    <col min="8" max="8" width="18.140625" bestFit="1" customWidth="1"/>
    <col min="9" max="9" width="11.85546875" bestFit="1" customWidth="1"/>
    <col min="10" max="10" width="8.5703125" bestFit="1" customWidth="1"/>
    <col min="11" max="11" width="12.42578125" hidden="1" customWidth="1" outlineLevel="1"/>
    <col min="12" max="12" width="27.140625" hidden="1" customWidth="1" outlineLevel="1"/>
    <col min="13" max="13" width="8.85546875" collapsed="1"/>
  </cols>
  <sheetData>
    <row r="1" spans="1:5" ht="21">
      <c r="A1" s="421" t="s">
        <v>85</v>
      </c>
    </row>
    <row r="4" spans="1:5">
      <c r="A4" s="260" t="s">
        <v>86</v>
      </c>
      <c r="B4" s="260" t="s">
        <v>87</v>
      </c>
      <c r="C4" s="260" t="s">
        <v>88</v>
      </c>
      <c r="D4" s="260" t="s">
        <v>89</v>
      </c>
      <c r="E4" s="261" t="s">
        <v>90</v>
      </c>
    </row>
    <row r="5" spans="1:5">
      <c r="A5" s="262" t="s">
        <v>91</v>
      </c>
      <c r="B5" s="263"/>
      <c r="C5" s="285">
        <f>'Estimate Breakdown'!D57</f>
        <v>196000</v>
      </c>
      <c r="D5" s="285">
        <f>'Estimate Breakdown'!E57</f>
        <v>223000</v>
      </c>
      <c r="E5" s="291">
        <f>'Estimate Breakdown'!F57</f>
        <v>282000</v>
      </c>
    </row>
    <row r="6" spans="1:5">
      <c r="A6" s="262" t="s">
        <v>92</v>
      </c>
      <c r="B6" s="263"/>
      <c r="C6" s="285">
        <f>'Estimate Breakdown'!D61</f>
        <v>15000</v>
      </c>
      <c r="D6" s="285">
        <f>'Estimate Breakdown'!E61</f>
        <v>15000</v>
      </c>
      <c r="E6" s="291">
        <f>'Estimate Breakdown'!F61</f>
        <v>15000</v>
      </c>
    </row>
    <row r="7" spans="1:5">
      <c r="A7" s="262" t="s">
        <v>93</v>
      </c>
      <c r="B7" s="263"/>
      <c r="C7" s="285">
        <f>'Estimate Breakdown'!D65</f>
        <v>32000</v>
      </c>
      <c r="D7" s="285">
        <f>'Estimate Breakdown'!E65</f>
        <v>32000</v>
      </c>
      <c r="E7" s="291">
        <f>'Estimate Breakdown'!F65</f>
        <v>40000</v>
      </c>
    </row>
    <row r="8" spans="1:5">
      <c r="A8" s="262" t="s">
        <v>94</v>
      </c>
      <c r="B8" s="264"/>
      <c r="C8" s="285">
        <f>MIN('Estimate Breakdown'!O81:BG81)</f>
        <v>60000</v>
      </c>
      <c r="D8" s="285" t="s">
        <v>95</v>
      </c>
      <c r="E8" s="291">
        <f>MAX('Estimate Breakdown'!O81:BG81)</f>
        <v>107000</v>
      </c>
    </row>
    <row r="9" spans="1:5">
      <c r="A9" s="262" t="s">
        <v>96</v>
      </c>
      <c r="B9" s="263"/>
      <c r="C9" s="285">
        <f>'Estimate Breakdown'!D92</f>
        <v>30000</v>
      </c>
      <c r="D9" s="285">
        <f>'Estimate Breakdown'!E92</f>
        <v>30000</v>
      </c>
      <c r="E9" s="291">
        <f>'Estimate Breakdown'!F92</f>
        <v>43000</v>
      </c>
    </row>
    <row r="10" spans="1:5">
      <c r="A10" s="262" t="s">
        <v>97</v>
      </c>
      <c r="B10" s="263"/>
      <c r="C10" s="285">
        <f>'Estimate Breakdown'!D97</f>
        <v>60000</v>
      </c>
      <c r="D10" s="285">
        <f>'Estimate Breakdown'!E97</f>
        <v>60000</v>
      </c>
      <c r="E10" s="291">
        <f>'Estimate Breakdown'!F97</f>
        <v>60000</v>
      </c>
    </row>
    <row r="11" spans="1:5" ht="15.75" thickBot="1">
      <c r="A11" s="265" t="s">
        <v>98</v>
      </c>
      <c r="B11" s="266"/>
      <c r="C11" s="286">
        <f>'Estimate Breakdown'!D103</f>
        <v>33000</v>
      </c>
      <c r="D11" s="286">
        <f>'Estimate Breakdown'!E103</f>
        <v>33000</v>
      </c>
      <c r="E11" s="292">
        <f>'Estimate Breakdown'!F103</f>
        <v>33000</v>
      </c>
    </row>
    <row r="12" spans="1:5" ht="15.75" thickTop="1">
      <c r="A12" s="267" t="s">
        <v>99</v>
      </c>
      <c r="B12" s="267"/>
      <c r="C12" s="287">
        <f>'Estimate Breakdown'!D105</f>
        <v>443000</v>
      </c>
      <c r="D12" s="287">
        <f>'Estimate Breakdown'!E105</f>
        <v>470000</v>
      </c>
      <c r="E12" s="293">
        <f>'Estimate Breakdown'!F105</f>
        <v>550000</v>
      </c>
    </row>
    <row r="13" spans="1:5" ht="45">
      <c r="A13" s="262" t="s">
        <v>100</v>
      </c>
      <c r="B13" s="268">
        <f>'Estimate Breakdown'!C110</f>
        <v>0.3</v>
      </c>
      <c r="C13" s="285">
        <f>'Estimate Breakdown'!D110</f>
        <v>133000</v>
      </c>
      <c r="D13" s="285">
        <f>'Estimate Breakdown'!E110</f>
        <v>141000</v>
      </c>
      <c r="E13" s="291">
        <f>'Estimate Breakdown'!F110</f>
        <v>165000</v>
      </c>
    </row>
    <row r="14" spans="1:5" ht="30">
      <c r="A14" s="262" t="s">
        <v>101</v>
      </c>
      <c r="B14" s="268">
        <f>'Estimate Breakdown'!C111</f>
        <v>0.15</v>
      </c>
      <c r="C14" s="285">
        <f>'Estimate Breakdown'!D111</f>
        <v>67000</v>
      </c>
      <c r="D14" s="285">
        <f>'Estimate Breakdown'!E111</f>
        <v>71000</v>
      </c>
      <c r="E14" s="291">
        <f>'Estimate Breakdown'!F111</f>
        <v>83000</v>
      </c>
    </row>
    <row r="15" spans="1:5" ht="30.75" thickBot="1">
      <c r="A15" s="265" t="s">
        <v>102</v>
      </c>
      <c r="B15" s="269">
        <f>'Estimate Breakdown'!C112</f>
        <v>0.02</v>
      </c>
      <c r="C15" s="286">
        <f>'Estimate Breakdown'!D112</f>
        <v>9000</v>
      </c>
      <c r="D15" s="286">
        <f>'Estimate Breakdown'!E112</f>
        <v>10000</v>
      </c>
      <c r="E15" s="292">
        <f>'Estimate Breakdown'!F112</f>
        <v>11000</v>
      </c>
    </row>
    <row r="16" spans="1:5" ht="15.75" thickTop="1">
      <c r="A16" s="267" t="s">
        <v>103</v>
      </c>
      <c r="B16" s="270"/>
      <c r="C16" s="287">
        <f>'Estimate Breakdown'!D114</f>
        <v>652000</v>
      </c>
      <c r="D16" s="287">
        <f>'Estimate Breakdown'!E114</f>
        <v>692000</v>
      </c>
      <c r="E16" s="293">
        <f>'Estimate Breakdown'!F114</f>
        <v>809000</v>
      </c>
    </row>
    <row r="18" spans="1:4" ht="30.75" thickBot="1">
      <c r="A18" s="271" t="s">
        <v>86</v>
      </c>
      <c r="B18" s="271" t="s">
        <v>87</v>
      </c>
      <c r="C18" s="271" t="s">
        <v>104</v>
      </c>
      <c r="D18" s="271" t="s">
        <v>105</v>
      </c>
    </row>
    <row r="19" spans="1:4" ht="15.75" thickTop="1">
      <c r="A19" s="277" t="s">
        <v>103</v>
      </c>
      <c r="B19" s="270"/>
      <c r="C19" s="290">
        <f>'Estimate Breakdown'!G116</f>
        <v>29563000</v>
      </c>
      <c r="D19" s="290">
        <f t="shared" ref="D19:D29" si="0">C19/45</f>
        <v>656955.5555555555</v>
      </c>
    </row>
    <row r="20" spans="1:4">
      <c r="A20" s="272" t="s">
        <v>106</v>
      </c>
      <c r="B20" s="273">
        <f>'Estimate Breakdown'!C120</f>
        <v>0.02</v>
      </c>
      <c r="C20" s="288">
        <f>'Estimate Breakdown'!G120</f>
        <v>592000</v>
      </c>
      <c r="D20" s="288">
        <f>C20/45</f>
        <v>13155.555555555555</v>
      </c>
    </row>
    <row r="21" spans="1:4">
      <c r="A21" s="272" t="s">
        <v>107</v>
      </c>
      <c r="B21" s="273">
        <f>'Estimate Breakdown'!C121</f>
        <v>0.13</v>
      </c>
      <c r="C21" s="288">
        <f>'Estimate Breakdown'!G121</f>
        <v>3844000</v>
      </c>
      <c r="D21" s="288">
        <f t="shared" si="0"/>
        <v>85422.222222222219</v>
      </c>
    </row>
    <row r="22" spans="1:4" ht="45">
      <c r="A22" s="272" t="s">
        <v>108</v>
      </c>
      <c r="B22" s="273">
        <f>'Estimate Breakdown'!C122</f>
        <v>7.0000000000000007E-2</v>
      </c>
      <c r="C22" s="288">
        <f>'Estimate Breakdown'!G122</f>
        <v>2070000</v>
      </c>
      <c r="D22" s="288">
        <f t="shared" si="0"/>
        <v>46000</v>
      </c>
    </row>
    <row r="23" spans="1:4" ht="30">
      <c r="A23" s="272" t="s">
        <v>109</v>
      </c>
      <c r="B23" s="273">
        <f>'Estimate Breakdown'!C123</f>
        <v>0.04</v>
      </c>
      <c r="C23" s="288">
        <f>'Estimate Breakdown'!G123</f>
        <v>1183000</v>
      </c>
      <c r="D23" s="288">
        <f t="shared" si="0"/>
        <v>26288.888888888891</v>
      </c>
    </row>
    <row r="24" spans="1:4" ht="45">
      <c r="A24" s="272" t="s">
        <v>110</v>
      </c>
      <c r="B24" s="274" t="s">
        <v>111</v>
      </c>
      <c r="C24" s="288">
        <f>'Estimate Breakdown'!G124</f>
        <v>675000</v>
      </c>
      <c r="D24" s="288">
        <f t="shared" si="0"/>
        <v>15000</v>
      </c>
    </row>
    <row r="25" spans="1:4" ht="30">
      <c r="A25" s="272" t="s">
        <v>112</v>
      </c>
      <c r="B25" s="274" t="s">
        <v>113</v>
      </c>
      <c r="C25" s="288">
        <f>'Estimate Breakdown'!G125</f>
        <v>60000</v>
      </c>
      <c r="D25" s="288">
        <f t="shared" si="0"/>
        <v>1333.3333333333333</v>
      </c>
    </row>
    <row r="26" spans="1:4" ht="30">
      <c r="A26" s="272" t="s">
        <v>114</v>
      </c>
      <c r="B26" s="274" t="s">
        <v>115</v>
      </c>
      <c r="C26" s="288">
        <f>'Estimate Breakdown'!G126</f>
        <v>1800000</v>
      </c>
      <c r="D26" s="288">
        <f t="shared" si="0"/>
        <v>40000</v>
      </c>
    </row>
    <row r="27" spans="1:4">
      <c r="A27" s="456"/>
      <c r="B27" s="457"/>
      <c r="C27" s="458"/>
      <c r="D27" s="458"/>
    </row>
    <row r="28" spans="1:4" ht="15.75" thickBot="1">
      <c r="A28" s="275" t="s">
        <v>116</v>
      </c>
      <c r="B28" s="276" t="s">
        <v>117</v>
      </c>
      <c r="C28" s="289">
        <f>'Estimate Breakdown'!G128</f>
        <v>35000</v>
      </c>
      <c r="D28" s="289">
        <f t="shared" si="0"/>
        <v>777.77777777777783</v>
      </c>
    </row>
    <row r="29" spans="1:4" ht="30.75" thickTop="1">
      <c r="A29" s="277" t="s">
        <v>118</v>
      </c>
      <c r="B29" s="270"/>
      <c r="C29" s="290">
        <f>'Estimate Breakdown'!G129</f>
        <v>10304000</v>
      </c>
      <c r="D29" s="290">
        <f t="shared" si="0"/>
        <v>228977.77777777778</v>
      </c>
    </row>
    <row r="33" spans="1:12" ht="30">
      <c r="A33" s="260" t="s">
        <v>119</v>
      </c>
      <c r="B33" s="260" t="s">
        <v>120</v>
      </c>
      <c r="C33" s="260" t="s">
        <v>104</v>
      </c>
      <c r="D33" s="261" t="s">
        <v>121</v>
      </c>
      <c r="F33" s="260" t="s">
        <v>119</v>
      </c>
      <c r="G33" s="260" t="s">
        <v>122</v>
      </c>
      <c r="H33" s="260" t="s">
        <v>123</v>
      </c>
      <c r="I33" s="260" t="s">
        <v>124</v>
      </c>
      <c r="J33" s="260" t="s">
        <v>125</v>
      </c>
      <c r="K33" s="271" t="s">
        <v>126</v>
      </c>
      <c r="L33" s="271" t="s">
        <v>127</v>
      </c>
    </row>
    <row r="34" spans="1:12">
      <c r="A34" s="278" t="s">
        <v>99</v>
      </c>
      <c r="B34" s="279"/>
      <c r="C34" s="284">
        <f>'Estimate Breakdown'!G107</f>
        <v>20065000</v>
      </c>
      <c r="D34" s="280">
        <f>C34/45</f>
        <v>445888.88888888888</v>
      </c>
      <c r="F34" s="278" t="s">
        <v>99</v>
      </c>
      <c r="G34" s="319">
        <f>SUMIF('Estimate Breakdown'!$O$15:$BG$15,G$33,'Estimate Breakdown'!$O$105:$BG$105)</f>
        <v>395000</v>
      </c>
      <c r="H34" s="319">
        <f>SUMIF('Estimate Breakdown'!$O$15:$BG$15,H$33,'Estimate Breakdown'!$O$105:$BG$105)</f>
        <v>801000</v>
      </c>
      <c r="I34" s="319">
        <f>SUMIF('Estimate Breakdown'!$O$15:$BG$15,I$33,'Estimate Breakdown'!$O$105:$BG$105)</f>
        <v>18869000</v>
      </c>
      <c r="J34" s="319">
        <f>SUMIF('Estimate Breakdown'!$O$15:$BG$15,J$33,'Estimate Breakdown'!$O$105:$BG$105)</f>
        <v>0</v>
      </c>
      <c r="K34" s="319">
        <f>SUM(G34:J34)</f>
        <v>20065000</v>
      </c>
      <c r="L34" s="319" t="str">
        <f>IF(K34=C34,"Pass","Error")</f>
        <v>Pass</v>
      </c>
    </row>
    <row r="35" spans="1:12">
      <c r="A35" s="262" t="s">
        <v>128</v>
      </c>
      <c r="B35" s="268">
        <f>SUM('Estimate Breakdown'!C110:C112)</f>
        <v>0.47</v>
      </c>
      <c r="C35" s="285">
        <f>'Estimate Breakdown'!G115</f>
        <v>9498000</v>
      </c>
      <c r="D35" s="281">
        <f t="shared" ref="D35:D42" si="1">C35/45</f>
        <v>211066.66666666666</v>
      </c>
      <c r="F35" s="262" t="s">
        <v>128</v>
      </c>
      <c r="G35" s="318">
        <f>G36-G34</f>
        <v>187000</v>
      </c>
      <c r="H35" s="318">
        <f t="shared" ref="H35:I35" si="2">H36-H34</f>
        <v>379000</v>
      </c>
      <c r="I35" s="318">
        <f t="shared" si="2"/>
        <v>8932000</v>
      </c>
      <c r="J35" s="318">
        <f>J36-J34</f>
        <v>0</v>
      </c>
      <c r="K35" s="318">
        <f t="shared" ref="K35:K38" si="3">SUM(G35:J35)</f>
        <v>9498000</v>
      </c>
      <c r="L35" s="165" t="str">
        <f t="shared" ref="L35:L42" si="4">IF(K35=C35,"Pass","Error")</f>
        <v>Pass</v>
      </c>
    </row>
    <row r="36" spans="1:12" ht="30">
      <c r="A36" s="278" t="s">
        <v>103</v>
      </c>
      <c r="B36" s="279"/>
      <c r="C36" s="284">
        <f>'Estimate Breakdown'!G116</f>
        <v>29563000</v>
      </c>
      <c r="D36" s="280">
        <f t="shared" si="1"/>
        <v>656955.5555555555</v>
      </c>
      <c r="F36" s="278" t="s">
        <v>103</v>
      </c>
      <c r="G36" s="319">
        <f>SUMIF('Estimate Breakdown'!$O$15:$BG$15,G$33,'Estimate Breakdown'!$O$114:$BG$114)</f>
        <v>582000</v>
      </c>
      <c r="H36" s="319">
        <f>SUMIF('Estimate Breakdown'!$O$15:$BG$15,H$33,'Estimate Breakdown'!$O$114:$BG$114)</f>
        <v>1180000</v>
      </c>
      <c r="I36" s="319">
        <f>SUMIF('Estimate Breakdown'!$O$15:$BG$15,I$33,'Estimate Breakdown'!$O$114:$BG$114)</f>
        <v>27801000</v>
      </c>
      <c r="J36" s="319">
        <f>SUMIF('Estimate Breakdown'!$O$15:$BG$15,J$33,'Estimate Breakdown'!$O$114:$BG$114)</f>
        <v>0</v>
      </c>
      <c r="K36" s="319">
        <f t="shared" si="3"/>
        <v>29563000</v>
      </c>
      <c r="L36" s="319" t="str">
        <f t="shared" si="4"/>
        <v>Pass</v>
      </c>
    </row>
    <row r="37" spans="1:12" ht="45">
      <c r="A37" s="262" t="s">
        <v>129</v>
      </c>
      <c r="B37" s="268">
        <f>SUM('Estimate Breakdown'!C129)</f>
        <v>0.34854378784291173</v>
      </c>
      <c r="C37" s="285">
        <f>'Estimate Breakdown'!G129</f>
        <v>10304000</v>
      </c>
      <c r="D37" s="281">
        <f t="shared" si="1"/>
        <v>228977.77777777778</v>
      </c>
      <c r="F37" s="262" t="s">
        <v>129</v>
      </c>
      <c r="G37" s="318">
        <f>G36*$B37</f>
        <v>202852.48452457463</v>
      </c>
      <c r="H37" s="318">
        <f t="shared" ref="H37:J37" si="5">H36*$B37</f>
        <v>411281.66965463583</v>
      </c>
      <c r="I37" s="318">
        <f t="shared" si="5"/>
        <v>9689865.8458207883</v>
      </c>
      <c r="J37" s="318">
        <f t="shared" si="5"/>
        <v>0</v>
      </c>
      <c r="K37" s="318">
        <f t="shared" si="3"/>
        <v>10303999.999999998</v>
      </c>
      <c r="L37" s="318" t="str">
        <f t="shared" si="4"/>
        <v>Pass</v>
      </c>
    </row>
    <row r="38" spans="1:12">
      <c r="A38" s="278" t="s">
        <v>130</v>
      </c>
      <c r="B38" s="279"/>
      <c r="C38" s="284">
        <f>'Estimate Breakdown'!G131</f>
        <v>39867000</v>
      </c>
      <c r="D38" s="280">
        <f t="shared" si="1"/>
        <v>885933.33333333337</v>
      </c>
      <c r="F38" s="278" t="s">
        <v>130</v>
      </c>
      <c r="G38" s="320">
        <f>G37+G36</f>
        <v>784852.4845245746</v>
      </c>
      <c r="H38" s="320">
        <f t="shared" ref="H38:J38" si="6">H37+H36</f>
        <v>1591281.6696546357</v>
      </c>
      <c r="I38" s="320">
        <f t="shared" si="6"/>
        <v>37490865.845820785</v>
      </c>
      <c r="J38" s="320">
        <f t="shared" si="6"/>
        <v>0</v>
      </c>
      <c r="K38" s="320">
        <f t="shared" si="3"/>
        <v>39866999.999999993</v>
      </c>
      <c r="L38" s="320" t="str">
        <f t="shared" si="4"/>
        <v>Pass</v>
      </c>
    </row>
    <row r="39" spans="1:12">
      <c r="A39" s="262" t="s">
        <v>131</v>
      </c>
      <c r="B39" s="268">
        <v>0.3</v>
      </c>
      <c r="C39" s="285">
        <f>'Estimate Breakdown'!G133</f>
        <v>11961000</v>
      </c>
      <c r="D39" s="281">
        <f t="shared" si="1"/>
        <v>265800</v>
      </c>
      <c r="F39" s="262" t="s">
        <v>131</v>
      </c>
      <c r="G39" s="318">
        <f t="shared" ref="G39:H39" si="7">ROUNDUP(G38*$B39,-2)</f>
        <v>235500</v>
      </c>
      <c r="H39" s="318">
        <f t="shared" si="7"/>
        <v>477400</v>
      </c>
      <c r="I39" s="318">
        <f>ROUNDUP(I38*$B39,-2)</f>
        <v>11247300</v>
      </c>
      <c r="J39" s="318">
        <f t="shared" ref="J39" si="8">ROUNDUP(J38*$B39,-2)</f>
        <v>0</v>
      </c>
      <c r="K39" s="318">
        <f>ROUNDUP(SUM(G39:J39),-3)</f>
        <v>11961000</v>
      </c>
      <c r="L39" s="318" t="str">
        <f t="shared" si="4"/>
        <v>Pass</v>
      </c>
    </row>
    <row r="40" spans="1:12">
      <c r="A40" s="278" t="s">
        <v>132</v>
      </c>
      <c r="B40" s="279"/>
      <c r="C40" s="284">
        <f>'Estimate Breakdown'!G134</f>
        <v>51828000</v>
      </c>
      <c r="D40" s="280">
        <f t="shared" si="1"/>
        <v>1151733.3333333333</v>
      </c>
      <c r="F40" s="278" t="s">
        <v>132</v>
      </c>
      <c r="G40" s="320">
        <f>G39+G38</f>
        <v>1020352.4845245746</v>
      </c>
      <c r="H40" s="320">
        <f t="shared" ref="H40:J40" si="9">H39+H38</f>
        <v>2068681.6696546357</v>
      </c>
      <c r="I40" s="320">
        <f t="shared" si="9"/>
        <v>48738165.845820785</v>
      </c>
      <c r="J40" s="320">
        <f t="shared" si="9"/>
        <v>0</v>
      </c>
      <c r="K40" s="318">
        <f t="shared" ref="K40:K42" si="10">ROUNDUP(SUM(G40:J40),-3)</f>
        <v>51828000</v>
      </c>
      <c r="L40" s="320" t="str">
        <f t="shared" si="4"/>
        <v>Pass</v>
      </c>
    </row>
    <row r="41" spans="1:12" ht="15.75" thickBot="1">
      <c r="A41" s="265" t="s">
        <v>133</v>
      </c>
      <c r="B41" s="269">
        <v>0.05</v>
      </c>
      <c r="C41" s="286">
        <f>'Estimate Breakdown'!G136</f>
        <v>6250000</v>
      </c>
      <c r="D41" s="282">
        <f t="shared" si="1"/>
        <v>138888.88888888888</v>
      </c>
      <c r="F41" s="265" t="s">
        <v>134</v>
      </c>
      <c r="G41" s="318">
        <f>'Estimate Breakdown'!$G$136*G40/$C$40</f>
        <v>123045.51648295498</v>
      </c>
      <c r="H41" s="318">
        <f>'Estimate Breakdown'!$G$136*H40/$C$40</f>
        <v>249464.77647876577</v>
      </c>
      <c r="I41" s="318">
        <f>'Estimate Breakdown'!$G$136*I40/$C$40</f>
        <v>5877393.2340892926</v>
      </c>
      <c r="J41" s="318">
        <f>'Estimate Breakdown'!$G$136*J40/$C$40</f>
        <v>0</v>
      </c>
      <c r="K41" s="318">
        <f t="shared" si="10"/>
        <v>6250000</v>
      </c>
      <c r="L41" s="318" t="str">
        <f t="shared" si="4"/>
        <v>Pass</v>
      </c>
    </row>
    <row r="42" spans="1:12" ht="15.75" thickTop="1">
      <c r="A42" s="267" t="s">
        <v>135</v>
      </c>
      <c r="B42" s="270"/>
      <c r="C42" s="287">
        <f>'Estimate Breakdown'!G137</f>
        <v>58078000</v>
      </c>
      <c r="D42" s="283">
        <f t="shared" si="1"/>
        <v>1290622.2222222222</v>
      </c>
      <c r="F42" s="267" t="s">
        <v>135</v>
      </c>
      <c r="G42" s="320">
        <f>SUM(G40:G41)</f>
        <v>1143398.0010075297</v>
      </c>
      <c r="H42" s="320">
        <f t="shared" ref="H42:J42" si="11">SUM(H40:H41)</f>
        <v>2318146.4461334012</v>
      </c>
      <c r="I42" s="320">
        <f t="shared" si="11"/>
        <v>54615559.079910077</v>
      </c>
      <c r="J42" s="320">
        <f t="shared" si="11"/>
        <v>0</v>
      </c>
      <c r="K42" s="318">
        <f t="shared" si="10"/>
        <v>58078000</v>
      </c>
      <c r="L42" s="320" t="str">
        <f t="shared" si="4"/>
        <v>Pass</v>
      </c>
    </row>
    <row r="45" spans="1:12" ht="30">
      <c r="A45" s="448" t="s">
        <v>136</v>
      </c>
      <c r="B45" s="260" t="s">
        <v>137</v>
      </c>
    </row>
    <row r="46" spans="1:12">
      <c r="A46" s="263" t="s">
        <v>138</v>
      </c>
      <c r="B46" s="444">
        <f>'Estimate Breakdown'!G146</f>
        <v>58196000</v>
      </c>
    </row>
    <row r="47" spans="1:12" ht="30">
      <c r="A47" s="263" t="s">
        <v>139</v>
      </c>
      <c r="B47" s="444">
        <f>'Estimate Breakdown'!G147</f>
        <v>239000</v>
      </c>
    </row>
    <row r="48" spans="1:12">
      <c r="A48" s="263" t="s">
        <v>140</v>
      </c>
      <c r="B48" s="291">
        <f>'Estimate Breakdown'!G148</f>
        <v>587000</v>
      </c>
    </row>
    <row r="49" spans="1:2">
      <c r="A49" s="445" t="s">
        <v>141</v>
      </c>
      <c r="B49" s="446">
        <f>'Estimate Breakdown'!G150</f>
        <v>121600</v>
      </c>
    </row>
    <row r="50" spans="1:2">
      <c r="A50" s="445" t="s">
        <v>142</v>
      </c>
      <c r="B50" s="446">
        <f>'Estimate Breakdown'!G151</f>
        <v>4000</v>
      </c>
    </row>
    <row r="51" spans="1:2" ht="15.75" thickBot="1">
      <c r="A51" s="266" t="s">
        <v>143</v>
      </c>
      <c r="B51" s="446">
        <f>'Estimate Breakdown'!G152</f>
        <v>4000</v>
      </c>
    </row>
    <row r="52" spans="1:2" ht="30.75" thickTop="1">
      <c r="A52" s="267" t="s">
        <v>144</v>
      </c>
      <c r="B52" s="293">
        <f>'Estimate Breakdown'!G153</f>
        <v>716600</v>
      </c>
    </row>
    <row r="55" spans="1:2" ht="30">
      <c r="A55" s="448" t="s">
        <v>145</v>
      </c>
      <c r="B55" s="260" t="s">
        <v>137</v>
      </c>
    </row>
    <row r="56" spans="1:2" ht="30">
      <c r="A56" s="263" t="s">
        <v>144</v>
      </c>
      <c r="B56" s="447">
        <f>'Estimate Breakdown'!G153</f>
        <v>716600</v>
      </c>
    </row>
    <row r="57" spans="1:2" ht="30.75" thickBot="1">
      <c r="A57" s="263" t="s">
        <v>146</v>
      </c>
      <c r="B57" s="447">
        <f>'Estimate Breakdown'!G174</f>
        <v>1135000</v>
      </c>
    </row>
    <row r="58" spans="1:2" ht="30.75" thickTop="1">
      <c r="A58" s="267" t="s">
        <v>147</v>
      </c>
      <c r="B58" s="293">
        <f>'Estimate Breakdown'!G177</f>
        <v>1851600</v>
      </c>
    </row>
    <row r="60" spans="1:2" ht="30">
      <c r="A60" s="448" t="s">
        <v>148</v>
      </c>
      <c r="B60" s="260" t="s">
        <v>137</v>
      </c>
    </row>
    <row r="61" spans="1:2">
      <c r="A61" s="263" t="s">
        <v>149</v>
      </c>
      <c r="B61" s="449">
        <f>'Estimate Breakdown'!F209</f>
        <v>1062162.9166666665</v>
      </c>
    </row>
  </sheetData>
  <sheetProtection algorithmName="SHA-512" hashValue="Z9eUnRePoQw1XrZkPw/nvkF+ZTFVC6L4iiughPAIieaSsdQPYSZbQAkWA2MpMzmn84db4HEShC12r7A3eQ2AEg==" saltValue="UXgIxf8j0hQQBFXrkL9Q2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08FC-9A7E-450A-87F7-28F788F12DFC}">
  <sheetPr>
    <outlinePr summaryBelow="0" summaryRight="0"/>
  </sheetPr>
  <dimension ref="A1:BH214"/>
  <sheetViews>
    <sheetView topLeftCell="A189" zoomScale="85" zoomScaleNormal="85" workbookViewId="0">
      <selection activeCell="G202" sqref="G202"/>
    </sheetView>
  </sheetViews>
  <sheetFormatPr defaultRowHeight="15" outlineLevelRow="1" outlineLevelCol="1"/>
  <cols>
    <col min="1" max="1" width="25.42578125" customWidth="1"/>
    <col min="2" max="2" width="42.42578125" customWidth="1" outlineLevel="1"/>
    <col min="3" max="3" width="17.85546875" customWidth="1" outlineLevel="1"/>
    <col min="4" max="4" width="14.5703125" customWidth="1" outlineLevel="1"/>
    <col min="5" max="5" width="18.85546875" customWidth="1" outlineLevel="1"/>
    <col min="6" max="6" width="13.5703125" customWidth="1" outlineLevel="1"/>
    <col min="7" max="7" width="20.42578125" customWidth="1" outlineLevel="1"/>
    <col min="8" max="8" width="22.140625" style="53" customWidth="1" outlineLevel="1"/>
    <col min="9" max="9" width="59.140625" style="53" customWidth="1" outlineLevel="1"/>
    <col min="10" max="10" width="18.5703125" customWidth="1" outlineLevel="1"/>
    <col min="11" max="11" width="49.140625" style="53" customWidth="1" outlineLevel="1"/>
    <col min="12" max="12" width="3.5703125" customWidth="1"/>
    <col min="13" max="13" width="41.5703125" style="53" customWidth="1" collapsed="1"/>
    <col min="14" max="14" width="25.140625" hidden="1" customWidth="1" outlineLevel="1"/>
    <col min="15" max="28" width="11.42578125" hidden="1" customWidth="1" outlineLevel="1"/>
    <col min="29" max="29" width="12.140625" hidden="1" customWidth="1" outlineLevel="1"/>
    <col min="30" max="35" width="11.42578125" hidden="1" customWidth="1" outlineLevel="1"/>
    <col min="36" max="36" width="15.5703125" hidden="1" customWidth="1" outlineLevel="1"/>
    <col min="37" max="56" width="11.42578125" hidden="1" customWidth="1" outlineLevel="1"/>
    <col min="57" max="58" width="18.140625" hidden="1" customWidth="1" outlineLevel="1"/>
    <col min="59" max="59" width="22.42578125" hidden="1" customWidth="1" outlineLevel="1"/>
    <col min="60" max="60" width="12.5703125" style="56" hidden="1" customWidth="1" outlineLevel="1"/>
  </cols>
  <sheetData>
    <row r="1" spans="1:59" ht="21">
      <c r="A1" s="421" t="s">
        <v>150</v>
      </c>
      <c r="M1" s="421" t="s">
        <v>151</v>
      </c>
    </row>
    <row r="2" spans="1:59">
      <c r="A2" s="324" t="s">
        <v>152</v>
      </c>
    </row>
    <row r="4" spans="1:59" ht="18.75">
      <c r="A4" s="223" t="s">
        <v>153</v>
      </c>
      <c r="C4" s="56"/>
      <c r="D4" s="461" t="s">
        <v>154</v>
      </c>
      <c r="E4" s="461"/>
      <c r="F4" s="461"/>
      <c r="G4" s="243"/>
      <c r="H4" s="156"/>
      <c r="I4" s="156"/>
      <c r="N4" s="56"/>
      <c r="O4" s="178" t="s">
        <v>155</v>
      </c>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row>
    <row r="5" spans="1:59">
      <c r="B5" s="178" t="s">
        <v>156</v>
      </c>
      <c r="C5" s="179" t="s">
        <v>157</v>
      </c>
      <c r="D5" s="178" t="s">
        <v>88</v>
      </c>
      <c r="E5" s="178" t="s">
        <v>158</v>
      </c>
      <c r="F5" s="178" t="s">
        <v>90</v>
      </c>
      <c r="G5" s="178"/>
      <c r="H5" s="178"/>
      <c r="I5" s="179" t="s">
        <v>159</v>
      </c>
      <c r="J5" s="172"/>
      <c r="K5" s="176"/>
      <c r="M5" s="176"/>
      <c r="N5" s="178" t="s">
        <v>160</v>
      </c>
      <c r="O5" s="178" t="s">
        <v>161</v>
      </c>
      <c r="P5" s="178" t="s">
        <v>162</v>
      </c>
      <c r="Q5" s="178" t="s">
        <v>163</v>
      </c>
      <c r="R5" s="178" t="s">
        <v>164</v>
      </c>
      <c r="S5" s="178" t="s">
        <v>165</v>
      </c>
      <c r="T5" s="178" t="s">
        <v>166</v>
      </c>
      <c r="U5" s="178" t="s">
        <v>167</v>
      </c>
      <c r="V5" s="178" t="s">
        <v>168</v>
      </c>
      <c r="W5" s="178" t="s">
        <v>169</v>
      </c>
      <c r="X5" s="178" t="s">
        <v>170</v>
      </c>
      <c r="Y5" s="178" t="s">
        <v>171</v>
      </c>
      <c r="Z5" s="178" t="s">
        <v>172</v>
      </c>
      <c r="AA5" s="178" t="s">
        <v>173</v>
      </c>
      <c r="AB5" s="178" t="s">
        <v>174</v>
      </c>
      <c r="AC5" s="178" t="s">
        <v>175</v>
      </c>
      <c r="AD5" s="178" t="s">
        <v>176</v>
      </c>
      <c r="AE5" s="178" t="s">
        <v>177</v>
      </c>
      <c r="AF5" s="178" t="s">
        <v>178</v>
      </c>
      <c r="AG5" s="178" t="s">
        <v>179</v>
      </c>
      <c r="AH5" s="178" t="s">
        <v>180</v>
      </c>
      <c r="AI5" s="178" t="s">
        <v>181</v>
      </c>
      <c r="AJ5" s="178" t="s">
        <v>182</v>
      </c>
      <c r="AK5" s="178" t="s">
        <v>183</v>
      </c>
      <c r="AL5" s="178" t="s">
        <v>184</v>
      </c>
      <c r="AM5" s="178" t="s">
        <v>185</v>
      </c>
      <c r="AN5" s="178" t="s">
        <v>186</v>
      </c>
      <c r="AO5" s="178" t="s">
        <v>187</v>
      </c>
      <c r="AP5" s="178" t="s">
        <v>188</v>
      </c>
      <c r="AQ5" s="178" t="s">
        <v>189</v>
      </c>
      <c r="AR5" s="178" t="s">
        <v>190</v>
      </c>
      <c r="AS5" s="178" t="s">
        <v>191</v>
      </c>
      <c r="AT5" s="178" t="s">
        <v>192</v>
      </c>
      <c r="AU5" s="178" t="s">
        <v>193</v>
      </c>
      <c r="AV5" s="178" t="s">
        <v>194</v>
      </c>
      <c r="AW5" s="178" t="s">
        <v>195</v>
      </c>
      <c r="AX5" s="178" t="s">
        <v>196</v>
      </c>
      <c r="AY5" s="178" t="s">
        <v>197</v>
      </c>
      <c r="AZ5" s="178" t="s">
        <v>198</v>
      </c>
      <c r="BA5" s="178" t="s">
        <v>199</v>
      </c>
      <c r="BB5" s="178" t="s">
        <v>200</v>
      </c>
      <c r="BC5" s="178" t="s">
        <v>201</v>
      </c>
      <c r="BD5" s="178" t="s">
        <v>202</v>
      </c>
      <c r="BE5" s="178" t="s">
        <v>203</v>
      </c>
      <c r="BF5" s="178" t="s">
        <v>204</v>
      </c>
      <c r="BG5" s="178" t="s">
        <v>205</v>
      </c>
    </row>
    <row r="6" spans="1:59" outlineLevel="1">
      <c r="B6" s="164" t="s">
        <v>206</v>
      </c>
      <c r="C6" s="53" t="s">
        <v>207</v>
      </c>
      <c r="D6" s="151">
        <v>300.39999999999998</v>
      </c>
      <c r="E6">
        <v>600</v>
      </c>
      <c r="F6">
        <v>1320</v>
      </c>
      <c r="M6" s="409" t="s">
        <v>208</v>
      </c>
      <c r="N6" s="190"/>
      <c r="O6" s="80">
        <v>350</v>
      </c>
      <c r="P6" s="80">
        <v>374</v>
      </c>
      <c r="Q6" s="80">
        <v>380</v>
      </c>
      <c r="R6" s="80">
        <v>845</v>
      </c>
      <c r="S6" s="80">
        <v>512</v>
      </c>
      <c r="T6" s="80">
        <v>918.55681666666692</v>
      </c>
      <c r="U6" s="80">
        <v>450</v>
      </c>
      <c r="V6" s="407">
        <v>500</v>
      </c>
      <c r="W6" s="80">
        <v>424.8</v>
      </c>
      <c r="X6" s="80">
        <v>356</v>
      </c>
      <c r="Y6" s="80">
        <v>350</v>
      </c>
      <c r="Z6" s="80">
        <v>285</v>
      </c>
      <c r="AA6" s="80">
        <v>321</v>
      </c>
      <c r="AB6" s="80">
        <v>580</v>
      </c>
      <c r="AC6" s="80">
        <v>485</v>
      </c>
      <c r="AD6" s="80">
        <v>551</v>
      </c>
      <c r="AE6" s="80">
        <v>277</v>
      </c>
      <c r="AF6" s="80">
        <v>1320</v>
      </c>
      <c r="AG6" s="80">
        <v>1100</v>
      </c>
      <c r="AH6" s="80">
        <v>470</v>
      </c>
      <c r="AI6" s="80">
        <v>1149.9839999999999</v>
      </c>
      <c r="AJ6" s="80">
        <v>1000</v>
      </c>
      <c r="AK6" s="80">
        <v>252</v>
      </c>
      <c r="AL6" s="80">
        <v>280</v>
      </c>
      <c r="AM6" s="80">
        <v>280</v>
      </c>
      <c r="AN6" s="80">
        <v>528</v>
      </c>
      <c r="AO6" s="80">
        <v>300</v>
      </c>
      <c r="AP6" s="80">
        <v>580</v>
      </c>
      <c r="AQ6" s="80">
        <v>550</v>
      </c>
      <c r="AR6" s="80">
        <v>449</v>
      </c>
      <c r="AS6" s="80">
        <v>450</v>
      </c>
      <c r="AT6" s="80">
        <v>450</v>
      </c>
      <c r="AU6" s="80">
        <v>450</v>
      </c>
      <c r="AV6" s="80">
        <v>511</v>
      </c>
      <c r="AW6" s="80">
        <v>137</v>
      </c>
      <c r="AX6" s="80">
        <v>557.67758209228521</v>
      </c>
      <c r="AY6" s="80">
        <v>120</v>
      </c>
      <c r="AZ6" s="80">
        <v>666.66666666666663</v>
      </c>
      <c r="BA6" s="80">
        <v>545</v>
      </c>
      <c r="BB6" s="80">
        <v>440</v>
      </c>
      <c r="BC6" s="80">
        <v>500</v>
      </c>
      <c r="BD6" s="80">
        <v>768</v>
      </c>
      <c r="BE6" s="80">
        <v>180</v>
      </c>
      <c r="BF6" s="80">
        <v>108</v>
      </c>
      <c r="BG6" s="80">
        <f>2100/24</f>
        <v>87.5</v>
      </c>
    </row>
    <row r="7" spans="1:59" ht="30" outlineLevel="1">
      <c r="B7" s="164" t="s">
        <v>209</v>
      </c>
      <c r="C7" s="53" t="s">
        <v>207</v>
      </c>
      <c r="D7" s="151">
        <f>D6/3</f>
        <v>100.13333333333333</v>
      </c>
      <c r="E7" s="151">
        <f t="shared" ref="E7" si="0">E6/3</f>
        <v>200</v>
      </c>
      <c r="F7" s="151">
        <f>F6/3</f>
        <v>440</v>
      </c>
      <c r="G7" s="151"/>
      <c r="I7" s="53" t="s">
        <v>210</v>
      </c>
      <c r="M7" s="53" t="s">
        <v>211</v>
      </c>
      <c r="O7" s="151">
        <f>O6*0.3</f>
        <v>105</v>
      </c>
      <c r="P7" s="151">
        <f t="shared" ref="P7:BG7" si="1">P6*0.3</f>
        <v>112.2</v>
      </c>
      <c r="Q7" s="151">
        <f t="shared" si="1"/>
        <v>114</v>
      </c>
      <c r="R7" s="151">
        <f t="shared" si="1"/>
        <v>253.5</v>
      </c>
      <c r="S7" s="151">
        <f t="shared" si="1"/>
        <v>153.6</v>
      </c>
      <c r="T7" s="151">
        <f t="shared" si="1"/>
        <v>275.56704500000006</v>
      </c>
      <c r="U7" s="151">
        <f t="shared" si="1"/>
        <v>135</v>
      </c>
      <c r="V7" s="151">
        <f t="shared" si="1"/>
        <v>150</v>
      </c>
      <c r="W7" s="151">
        <f t="shared" si="1"/>
        <v>127.44</v>
      </c>
      <c r="X7" s="151">
        <f t="shared" si="1"/>
        <v>106.8</v>
      </c>
      <c r="Y7" s="151">
        <f t="shared" si="1"/>
        <v>105</v>
      </c>
      <c r="Z7" s="151">
        <f t="shared" si="1"/>
        <v>85.5</v>
      </c>
      <c r="AA7" s="151">
        <f t="shared" si="1"/>
        <v>96.3</v>
      </c>
      <c r="AB7" s="151">
        <f t="shared" si="1"/>
        <v>174</v>
      </c>
      <c r="AC7" s="151">
        <f t="shared" si="1"/>
        <v>145.5</v>
      </c>
      <c r="AD7" s="151">
        <f t="shared" si="1"/>
        <v>165.29999999999998</v>
      </c>
      <c r="AE7" s="151">
        <f t="shared" si="1"/>
        <v>83.1</v>
      </c>
      <c r="AF7" s="151">
        <f t="shared" si="1"/>
        <v>396</v>
      </c>
      <c r="AG7" s="151">
        <f t="shared" si="1"/>
        <v>330</v>
      </c>
      <c r="AH7" s="151">
        <f t="shared" si="1"/>
        <v>141</v>
      </c>
      <c r="AI7" s="151">
        <f t="shared" si="1"/>
        <v>344.99519999999995</v>
      </c>
      <c r="AJ7" s="151">
        <f t="shared" si="1"/>
        <v>300</v>
      </c>
      <c r="AK7" s="151">
        <f t="shared" si="1"/>
        <v>75.599999999999994</v>
      </c>
      <c r="AL7" s="151">
        <f t="shared" si="1"/>
        <v>84</v>
      </c>
      <c r="AM7" s="151">
        <f t="shared" si="1"/>
        <v>84</v>
      </c>
      <c r="AN7" s="151">
        <f t="shared" si="1"/>
        <v>158.4</v>
      </c>
      <c r="AO7" s="151">
        <f t="shared" si="1"/>
        <v>90</v>
      </c>
      <c r="AP7" s="151">
        <f t="shared" si="1"/>
        <v>174</v>
      </c>
      <c r="AQ7" s="151">
        <f t="shared" si="1"/>
        <v>165</v>
      </c>
      <c r="AR7" s="151">
        <f t="shared" si="1"/>
        <v>134.69999999999999</v>
      </c>
      <c r="AS7" s="151">
        <f t="shared" si="1"/>
        <v>135</v>
      </c>
      <c r="AT7" s="151">
        <f t="shared" si="1"/>
        <v>135</v>
      </c>
      <c r="AU7" s="151">
        <f t="shared" si="1"/>
        <v>135</v>
      </c>
      <c r="AV7" s="151">
        <f t="shared" si="1"/>
        <v>153.29999999999998</v>
      </c>
      <c r="AW7" s="151">
        <f t="shared" si="1"/>
        <v>41.1</v>
      </c>
      <c r="AX7" s="151">
        <f t="shared" si="1"/>
        <v>167.30327462768557</v>
      </c>
      <c r="AY7" s="151">
        <f t="shared" si="1"/>
        <v>36</v>
      </c>
      <c r="AZ7" s="151">
        <f t="shared" si="1"/>
        <v>199.99999999999997</v>
      </c>
      <c r="BA7" s="151">
        <f t="shared" si="1"/>
        <v>163.5</v>
      </c>
      <c r="BB7" s="151">
        <f t="shared" si="1"/>
        <v>132</v>
      </c>
      <c r="BC7" s="151">
        <f t="shared" si="1"/>
        <v>150</v>
      </c>
      <c r="BD7" s="151">
        <f t="shared" si="1"/>
        <v>230.39999999999998</v>
      </c>
      <c r="BE7" s="151">
        <f t="shared" si="1"/>
        <v>54</v>
      </c>
      <c r="BF7" s="151">
        <f t="shared" si="1"/>
        <v>32.4</v>
      </c>
      <c r="BG7" s="151">
        <f t="shared" si="1"/>
        <v>26.25</v>
      </c>
    </row>
    <row r="8" spans="1:59" outlineLevel="1">
      <c r="B8" s="164" t="s">
        <v>212</v>
      </c>
      <c r="C8" s="53" t="s">
        <v>213</v>
      </c>
      <c r="D8" s="151">
        <f>'Chemical Sizing'!B16*1000</f>
        <v>137.54394902140936</v>
      </c>
      <c r="E8" s="151">
        <f>'Chemical Sizing'!E16*1000</f>
        <v>265.91830144139141</v>
      </c>
      <c r="F8" s="151">
        <f>'Chemical Sizing'!H16*1000</f>
        <v>605.19337569420122</v>
      </c>
      <c r="G8" s="151"/>
      <c r="I8" s="53" t="s">
        <v>214</v>
      </c>
      <c r="M8" s="53" t="s">
        <v>215</v>
      </c>
      <c r="O8" t="str">
        <f t="shared" ref="O8:BG8" si="2">IF(O6&lt;$D$6,$D$5, IF(O6&lt;$E$6,$E$5,$F$5))</f>
        <v xml:space="preserve">Medium </v>
      </c>
      <c r="P8" t="str">
        <f t="shared" si="2"/>
        <v xml:space="preserve">Medium </v>
      </c>
      <c r="Q8" t="str">
        <f t="shared" si="2"/>
        <v xml:space="preserve">Medium </v>
      </c>
      <c r="R8" t="str">
        <f t="shared" si="2"/>
        <v>Large</v>
      </c>
      <c r="S8" t="str">
        <f t="shared" si="2"/>
        <v xml:space="preserve">Medium </v>
      </c>
      <c r="T8" t="str">
        <f t="shared" si="2"/>
        <v>Large</v>
      </c>
      <c r="U8" t="str">
        <f t="shared" si="2"/>
        <v xml:space="preserve">Medium </v>
      </c>
      <c r="V8" t="str">
        <f t="shared" si="2"/>
        <v xml:space="preserve">Medium </v>
      </c>
      <c r="W8" t="str">
        <f t="shared" si="2"/>
        <v xml:space="preserve">Medium </v>
      </c>
      <c r="X8" t="str">
        <f t="shared" si="2"/>
        <v xml:space="preserve">Medium </v>
      </c>
      <c r="Y8" t="str">
        <f t="shared" si="2"/>
        <v xml:space="preserve">Medium </v>
      </c>
      <c r="Z8" t="str">
        <f t="shared" si="2"/>
        <v>Small</v>
      </c>
      <c r="AA8" t="str">
        <f t="shared" si="2"/>
        <v xml:space="preserve">Medium </v>
      </c>
      <c r="AB8" t="str">
        <f t="shared" si="2"/>
        <v xml:space="preserve">Medium </v>
      </c>
      <c r="AC8" t="str">
        <f t="shared" si="2"/>
        <v xml:space="preserve">Medium </v>
      </c>
      <c r="AD8" t="str">
        <f t="shared" si="2"/>
        <v xml:space="preserve">Medium </v>
      </c>
      <c r="AE8" t="str">
        <f t="shared" si="2"/>
        <v>Small</v>
      </c>
      <c r="AF8" t="str">
        <f t="shared" si="2"/>
        <v>Large</v>
      </c>
      <c r="AG8" t="str">
        <f t="shared" si="2"/>
        <v>Large</v>
      </c>
      <c r="AH8" t="str">
        <f t="shared" si="2"/>
        <v xml:space="preserve">Medium </v>
      </c>
      <c r="AI8" t="str">
        <f t="shared" si="2"/>
        <v>Large</v>
      </c>
      <c r="AJ8" t="str">
        <f t="shared" si="2"/>
        <v>Large</v>
      </c>
      <c r="AK8" t="str">
        <f t="shared" si="2"/>
        <v>Small</v>
      </c>
      <c r="AL8" t="str">
        <f t="shared" si="2"/>
        <v>Small</v>
      </c>
      <c r="AM8" t="str">
        <f t="shared" si="2"/>
        <v>Small</v>
      </c>
      <c r="AN8" t="str">
        <f t="shared" si="2"/>
        <v xml:space="preserve">Medium </v>
      </c>
      <c r="AO8" t="str">
        <f t="shared" si="2"/>
        <v>Small</v>
      </c>
      <c r="AP8" t="str">
        <f t="shared" si="2"/>
        <v xml:space="preserve">Medium </v>
      </c>
      <c r="AQ8" t="str">
        <f t="shared" si="2"/>
        <v xml:space="preserve">Medium </v>
      </c>
      <c r="AR8" t="str">
        <f t="shared" si="2"/>
        <v xml:space="preserve">Medium </v>
      </c>
      <c r="AS8" t="str">
        <f t="shared" si="2"/>
        <v xml:space="preserve">Medium </v>
      </c>
      <c r="AT8" t="str">
        <f t="shared" si="2"/>
        <v xml:space="preserve">Medium </v>
      </c>
      <c r="AU8" t="str">
        <f t="shared" si="2"/>
        <v xml:space="preserve">Medium </v>
      </c>
      <c r="AV8" t="str">
        <f t="shared" si="2"/>
        <v xml:space="preserve">Medium </v>
      </c>
      <c r="AW8" t="str">
        <f t="shared" si="2"/>
        <v>Small</v>
      </c>
      <c r="AX8" t="str">
        <f t="shared" si="2"/>
        <v xml:space="preserve">Medium </v>
      </c>
      <c r="AY8" t="str">
        <f t="shared" si="2"/>
        <v>Small</v>
      </c>
      <c r="AZ8" t="str">
        <f t="shared" si="2"/>
        <v>Large</v>
      </c>
      <c r="BA8" t="str">
        <f t="shared" si="2"/>
        <v xml:space="preserve">Medium </v>
      </c>
      <c r="BB8" t="str">
        <f t="shared" si="2"/>
        <v xml:space="preserve">Medium </v>
      </c>
      <c r="BC8" t="str">
        <f t="shared" si="2"/>
        <v xml:space="preserve">Medium </v>
      </c>
      <c r="BD8" t="str">
        <f t="shared" si="2"/>
        <v>Large</v>
      </c>
      <c r="BE8" t="str">
        <f t="shared" si="2"/>
        <v>Small</v>
      </c>
      <c r="BF8" t="str">
        <f t="shared" si="2"/>
        <v>Small</v>
      </c>
      <c r="BG8" t="str">
        <f t="shared" si="2"/>
        <v>Small</v>
      </c>
    </row>
    <row r="9" spans="1:59" outlineLevel="1">
      <c r="B9" s="164" t="s">
        <v>216</v>
      </c>
      <c r="C9" s="53" t="s">
        <v>213</v>
      </c>
      <c r="D9">
        <v>600</v>
      </c>
      <c r="E9">
        <v>600</v>
      </c>
      <c r="F9">
        <v>1500</v>
      </c>
      <c r="I9" s="53" t="s">
        <v>217</v>
      </c>
      <c r="M9" s="218" t="s">
        <v>218</v>
      </c>
      <c r="N9" t="s">
        <v>219</v>
      </c>
      <c r="O9" s="408" t="str">
        <f>INDEX('PS List with Markup Factors'!$AE:$AE,MATCH(O$5,'PS List with Markup Factors'!$C:$C,0))</f>
        <v>Yes</v>
      </c>
      <c r="P9" s="408" t="str">
        <f>INDEX('PS List with Markup Factors'!$AE:$AE,MATCH(P$5,'PS List with Markup Factors'!$C:$C,0))</f>
        <v>Yes</v>
      </c>
      <c r="Q9" s="408" t="str">
        <f>INDEX('PS List with Markup Factors'!$AE:$AE,MATCH(Q$5,'PS List with Markup Factors'!$C:$C,0))</f>
        <v>No</v>
      </c>
      <c r="R9" s="408" t="str">
        <f>INDEX('PS List with Markup Factors'!$AE:$AE,MATCH(R$5,'PS List with Markup Factors'!$C:$C,0))</f>
        <v>No</v>
      </c>
      <c r="S9" s="408" t="str">
        <f>INDEX('PS List with Markup Factors'!$AE:$AE,MATCH(S$5,'PS List with Markup Factors'!$C:$C,0))</f>
        <v>No</v>
      </c>
      <c r="T9" s="408" t="str">
        <f>INDEX('PS List with Markup Factors'!$AE:$AE,MATCH(T$5,'PS List with Markup Factors'!$C:$C,0))</f>
        <v>Yes</v>
      </c>
      <c r="U9" s="408" t="str">
        <f>INDEX('PS List with Markup Factors'!$AE:$AE,MATCH(U$5,'PS List with Markup Factors'!$C:$C,0))</f>
        <v>No</v>
      </c>
      <c r="V9" s="408" t="str">
        <f>INDEX('PS List with Markup Factors'!$AE:$AE,MATCH(V$5,'PS List with Markup Factors'!$C:$C,0))</f>
        <v xml:space="preserve">No </v>
      </c>
      <c r="W9" s="408" t="str">
        <f>INDEX('PS List with Markup Factors'!$AE:$AE,MATCH(W$5,'PS List with Markup Factors'!$C:$C,0))</f>
        <v>No</v>
      </c>
      <c r="X9" s="408" t="str">
        <f>INDEX('PS List with Markup Factors'!$AE:$AE,MATCH(X$5,'PS List with Markup Factors'!$C:$C,0))</f>
        <v>Yes</v>
      </c>
      <c r="Y9" s="408" t="str">
        <f>INDEX('PS List with Markup Factors'!$AE:$AE,MATCH(Y$5,'PS List with Markup Factors'!$C:$C,0))</f>
        <v>No</v>
      </c>
      <c r="Z9" s="408" t="str">
        <f>INDEX('PS List with Markup Factors'!$AE:$AE,MATCH(Z$5,'PS List with Markup Factors'!$C:$C,0))</f>
        <v>Yes</v>
      </c>
      <c r="AA9" s="408" t="str">
        <f>INDEX('PS List with Markup Factors'!$AE:$AE,MATCH(AA$5,'PS List with Markup Factors'!$C:$C,0))</f>
        <v>Yes</v>
      </c>
      <c r="AB9" s="408" t="str">
        <f>INDEX('PS List with Markup Factors'!$AE:$AE,MATCH(AB$5,'PS List with Markup Factors'!$C:$C,0))</f>
        <v>No</v>
      </c>
      <c r="AC9" s="408" t="str">
        <f>INDEX('PS List with Markup Factors'!$AE:$AE,MATCH(AC$5,'PS List with Markup Factors'!$C:$C,0))</f>
        <v>Yes</v>
      </c>
      <c r="AD9" s="408" t="str">
        <f>INDEX('PS List with Markup Factors'!$AE:$AE,MATCH(AD$5,'PS List with Markup Factors'!$C:$C,0))</f>
        <v>Yes</v>
      </c>
      <c r="AE9" s="408" t="str">
        <f>INDEX('PS List with Markup Factors'!$AE:$AE,MATCH(AE$5,'PS List with Markup Factors'!$C:$C,0))</f>
        <v>No</v>
      </c>
      <c r="AF9" s="408" t="str">
        <f>INDEX('PS List with Markup Factors'!$AE:$AE,MATCH(AF$5,'PS List with Markup Factors'!$C:$C,0))</f>
        <v>Yes</v>
      </c>
      <c r="AG9" s="408" t="str">
        <f>INDEX('PS List with Markup Factors'!$AE:$AE,MATCH(AG$5,'PS List with Markup Factors'!$C:$C,0))</f>
        <v>No</v>
      </c>
      <c r="AH9" s="408" t="str">
        <f>INDEX('PS List with Markup Factors'!$AE:$AE,MATCH(AH$5,'PS List with Markup Factors'!$C:$C,0))</f>
        <v>Yes</v>
      </c>
      <c r="AI9" s="408" t="str">
        <f>INDEX('PS List with Markup Factors'!$AE:$AE,MATCH(AI$5,'PS List with Markup Factors'!$C:$C,0))</f>
        <v>No</v>
      </c>
      <c r="AJ9" s="408" t="str">
        <f>INDEX('PS List with Markup Factors'!$AE:$AE,MATCH(AJ$5,'PS List with Markup Factors'!$C:$C,0))</f>
        <v>No</v>
      </c>
      <c r="AK9" s="408" t="str">
        <f>INDEX('PS List with Markup Factors'!$AE:$AE,MATCH(AK$5,'PS List with Markup Factors'!$C:$C,0))</f>
        <v>Yes</v>
      </c>
      <c r="AL9" s="408" t="str">
        <f>INDEX('PS List with Markup Factors'!$AE:$AE,MATCH(AL$5,'PS List with Markup Factors'!$C:$C,0))</f>
        <v>Yes</v>
      </c>
      <c r="AM9" s="408" t="str">
        <f>INDEX('PS List with Markup Factors'!$AE:$AE,MATCH(AM$5,'PS List with Markup Factors'!$C:$C,0))</f>
        <v>No</v>
      </c>
      <c r="AN9" s="408" t="str">
        <f>INDEX('PS List with Markup Factors'!$AE:$AE,MATCH(AN$5,'PS List with Markup Factors'!$C:$C,0))</f>
        <v>No</v>
      </c>
      <c r="AO9" s="408" t="str">
        <f>INDEX('PS List with Markup Factors'!$AE:$AE,MATCH(AO$5,'PS List with Markup Factors'!$C:$C,0))</f>
        <v>No</v>
      </c>
      <c r="AP9" s="408" t="str">
        <f>INDEX('PS List with Markup Factors'!$AE:$AE,MATCH(AP$5,'PS List with Markup Factors'!$C:$C,0))</f>
        <v>Yes</v>
      </c>
      <c r="AQ9" s="408" t="str">
        <f>INDEX('PS List with Markup Factors'!$AE:$AE,MATCH(AQ$5,'PS List with Markup Factors'!$C:$C,0))</f>
        <v>Yes</v>
      </c>
      <c r="AR9" s="408" t="str">
        <f>INDEX('PS List with Markup Factors'!$AE:$AE,MATCH(AR$5,'PS List with Markup Factors'!$C:$C,0))</f>
        <v>Yes</v>
      </c>
      <c r="AS9" s="408" t="str">
        <f>INDEX('PS List with Markup Factors'!$AE:$AE,MATCH(AS$5,'PS List with Markup Factors'!$C:$C,0))</f>
        <v>Yes</v>
      </c>
      <c r="AT9" s="408" t="str">
        <f>INDEX('PS List with Markup Factors'!$AE:$AE,MATCH(AT$5,'PS List with Markup Factors'!$C:$C,0))</f>
        <v>Yes</v>
      </c>
      <c r="AU9" s="408" t="str">
        <f>INDEX('PS List with Markup Factors'!$AE:$AE,MATCH(AU$5,'PS List with Markup Factors'!$C:$C,0))</f>
        <v>No</v>
      </c>
      <c r="AV9" s="408" t="str">
        <f>INDEX('PS List with Markup Factors'!$AE:$AE,MATCH(AV$5,'PS List with Markup Factors'!$C:$C,0))</f>
        <v>No</v>
      </c>
      <c r="AW9" s="408" t="str">
        <f>INDEX('PS List with Markup Factors'!$AE:$AE,MATCH(AW$5,'PS List with Markup Factors'!$C:$C,0))</f>
        <v>No</v>
      </c>
      <c r="AX9" s="408" t="str">
        <f>INDEX('PS List with Markup Factors'!$AE:$AE,MATCH(AX$5,'PS List with Markup Factors'!$C:$C,0))</f>
        <v>No</v>
      </c>
      <c r="AY9" s="408" t="str">
        <f>INDEX('PS List with Markup Factors'!$AE:$AE,MATCH(AY$5,'PS List with Markup Factors'!$C:$C,0))</f>
        <v>Yes</v>
      </c>
      <c r="AZ9" s="408" t="str">
        <f>INDEX('PS List with Markup Factors'!$AE:$AE,MATCH(AZ$5,'PS List with Markup Factors'!$C:$C,0))</f>
        <v>Yes</v>
      </c>
      <c r="BA9" s="408" t="str">
        <f>INDEX('PS List with Markup Factors'!$AE:$AE,MATCH(BA$5,'PS List with Markup Factors'!$C:$C,0))</f>
        <v>Yes</v>
      </c>
      <c r="BB9" s="408" t="str">
        <f>INDEX('PS List with Markup Factors'!$AE:$AE,MATCH(BB$5,'PS List with Markup Factors'!$C:$C,0))</f>
        <v>No</v>
      </c>
      <c r="BC9" s="408" t="str">
        <f>INDEX('PS List with Markup Factors'!$AE:$AE,MATCH(BC$5,'PS List with Markup Factors'!$C:$C,0))</f>
        <v>No</v>
      </c>
      <c r="BD9" s="408" t="str">
        <f>INDEX('PS List with Markup Factors'!$AE:$AE,MATCH(BD$5,'PS List with Markup Factors'!$C:$C,0))</f>
        <v>No</v>
      </c>
      <c r="BE9" s="408" t="str">
        <f>INDEX('PS List with Markup Factors'!$AE:$AE,MATCH(BE$5,'PS List with Markup Factors'!$C:$C,0))</f>
        <v>No</v>
      </c>
      <c r="BF9" s="408" t="str">
        <f>INDEX('PS List with Markup Factors'!$AE:$AE,MATCH(BF$5,'PS List with Markup Factors'!$C:$C,0))</f>
        <v>No</v>
      </c>
      <c r="BG9" s="408" t="str">
        <f>INDEX('PS List with Markup Factors'!$AE:$AE,MATCH(BG$5,'PS List with Markup Factors'!$C:$C,0))</f>
        <v>No</v>
      </c>
    </row>
    <row r="10" spans="1:59" outlineLevel="1">
      <c r="B10" s="164" t="s">
        <v>220</v>
      </c>
      <c r="C10" s="53" t="s">
        <v>213</v>
      </c>
      <c r="D10" s="151">
        <f>'Chemical Sizing'!B37</f>
        <v>32.748559290811755</v>
      </c>
      <c r="E10" s="151">
        <f>'Chemical Sizing'!E37</f>
        <v>63.313881295569388</v>
      </c>
      <c r="F10" s="151">
        <f>'Chemical Sizing'!H37</f>
        <v>144.0936608795717</v>
      </c>
      <c r="G10" s="151"/>
      <c r="I10" s="53" t="s">
        <v>221</v>
      </c>
      <c r="M10" s="218" t="s">
        <v>222</v>
      </c>
      <c r="N10" t="s">
        <v>223</v>
      </c>
      <c r="O10" s="408" t="str">
        <f>INDEX('PS List with Markup Factors'!$W:$W,MATCH(O$5,'PS List with Markup Factors'!$C:$C,0))</f>
        <v>Yes</v>
      </c>
      <c r="P10" s="408" t="str">
        <f>INDEX('PS List with Markup Factors'!$W:$W,MATCH(P$5,'PS List with Markup Factors'!$C:$C,0))</f>
        <v>Yes</v>
      </c>
      <c r="Q10" s="408" t="str">
        <f>INDEX('PS List with Markup Factors'!$W:$W,MATCH(Q$5,'PS List with Markup Factors'!$C:$C,0))</f>
        <v>Yes</v>
      </c>
      <c r="R10" s="408" t="str">
        <f>INDEX('PS List with Markup Factors'!$W:$W,MATCH(R$5,'PS List with Markup Factors'!$C:$C,0))</f>
        <v>Yes</v>
      </c>
      <c r="S10" s="408" t="str">
        <f>INDEX('PS List with Markup Factors'!$W:$W,MATCH(S$5,'PS List with Markup Factors'!$C:$C,0))</f>
        <v>Yes</v>
      </c>
      <c r="T10" s="408" t="str">
        <f>INDEX('PS List with Markup Factors'!$W:$W,MATCH(T$5,'PS List with Markup Factors'!$C:$C,0))</f>
        <v>Yes</v>
      </c>
      <c r="U10" s="408" t="str">
        <f>INDEX('PS List with Markup Factors'!$W:$W,MATCH(U$5,'PS List with Markup Factors'!$C:$C,0))</f>
        <v>Yes</v>
      </c>
      <c r="V10" s="408" t="str">
        <f>INDEX('PS List with Markup Factors'!$W:$W,MATCH(V$5,'PS List with Markup Factors'!$C:$C,0))</f>
        <v>Yes</v>
      </c>
      <c r="W10" s="408" t="str">
        <f>INDEX('PS List with Markup Factors'!$W:$W,MATCH(W$5,'PS List with Markup Factors'!$C:$C,0))</f>
        <v>Yes</v>
      </c>
      <c r="X10" s="408" t="str">
        <f>INDEX('PS List with Markup Factors'!$W:$W,MATCH(X$5,'PS List with Markup Factors'!$C:$C,0))</f>
        <v>Yes</v>
      </c>
      <c r="Y10" s="408" t="str">
        <f>INDEX('PS List with Markup Factors'!$W:$W,MATCH(Y$5,'PS List with Markup Factors'!$C:$C,0))</f>
        <v>Yes</v>
      </c>
      <c r="Z10" s="408" t="str">
        <f>INDEX('PS List with Markup Factors'!$W:$W,MATCH(Z$5,'PS List with Markup Factors'!$C:$C,0))</f>
        <v>Yes</v>
      </c>
      <c r="AA10" s="408" t="str">
        <f>INDEX('PS List with Markup Factors'!$W:$W,MATCH(AA$5,'PS List with Markup Factors'!$C:$C,0))</f>
        <v>Yes</v>
      </c>
      <c r="AB10" s="408" t="str">
        <f>INDEX('PS List with Markup Factors'!$W:$W,MATCH(AB$5,'PS List with Markup Factors'!$C:$C,0))</f>
        <v>Yes</v>
      </c>
      <c r="AC10" s="408" t="str">
        <f>INDEX('PS List with Markup Factors'!$W:$W,MATCH(AC$5,'PS List with Markup Factors'!$C:$C,0))</f>
        <v>Yes</v>
      </c>
      <c r="AD10" s="408" t="str">
        <f>INDEX('PS List with Markup Factors'!$W:$W,MATCH(AD$5,'PS List with Markup Factors'!$C:$C,0))</f>
        <v>Yes</v>
      </c>
      <c r="AE10" s="408" t="str">
        <f>INDEX('PS List with Markup Factors'!$W:$W,MATCH(AE$5,'PS List with Markup Factors'!$C:$C,0))</f>
        <v>Yes</v>
      </c>
      <c r="AF10" s="408" t="str">
        <f>INDEX('PS List with Markup Factors'!$W:$W,MATCH(AF$5,'PS List with Markup Factors'!$C:$C,0))</f>
        <v>Yes</v>
      </c>
      <c r="AG10" s="408" t="str">
        <f>INDEX('PS List with Markup Factors'!$W:$W,MATCH(AG$5,'PS List with Markup Factors'!$C:$C,0))</f>
        <v>Yes</v>
      </c>
      <c r="AH10" s="408" t="str">
        <f>INDEX('PS List with Markup Factors'!$W:$W,MATCH(AH$5,'PS List with Markup Factors'!$C:$C,0))</f>
        <v>No</v>
      </c>
      <c r="AI10" s="408" t="str">
        <f>INDEX('PS List with Markup Factors'!$W:$W,MATCH(AI$5,'PS List with Markup Factors'!$C:$C,0))</f>
        <v>Yes</v>
      </c>
      <c r="AJ10" s="408" t="str">
        <f>INDEX('PS List with Markup Factors'!$W:$W,MATCH(AJ$5,'PS List with Markup Factors'!$C:$C,0))</f>
        <v>No</v>
      </c>
      <c r="AK10" s="408" t="str">
        <f>INDEX('PS List with Markup Factors'!$W:$W,MATCH(AK$5,'PS List with Markup Factors'!$C:$C,0))</f>
        <v>Yes</v>
      </c>
      <c r="AL10" s="408" t="str">
        <f>INDEX('PS List with Markup Factors'!$W:$W,MATCH(AL$5,'PS List with Markup Factors'!$C:$C,0))</f>
        <v>Yes</v>
      </c>
      <c r="AM10" s="408" t="str">
        <f>INDEX('PS List with Markup Factors'!$W:$W,MATCH(AM$5,'PS List with Markup Factors'!$C:$C,0))</f>
        <v>Yes</v>
      </c>
      <c r="AN10" s="408" t="str">
        <f>INDEX('PS List with Markup Factors'!$W:$W,MATCH(AN$5,'PS List with Markup Factors'!$C:$C,0))</f>
        <v>Yes</v>
      </c>
      <c r="AO10" s="408" t="str">
        <f>INDEX('PS List with Markup Factors'!$W:$W,MATCH(AO$5,'PS List with Markup Factors'!$C:$C,0))</f>
        <v>Yes</v>
      </c>
      <c r="AP10" s="408" t="str">
        <f>INDEX('PS List with Markup Factors'!$W:$W,MATCH(AP$5,'PS List with Markup Factors'!$C:$C,0))</f>
        <v>Yes</v>
      </c>
      <c r="AQ10" s="408" t="str">
        <f>INDEX('PS List with Markup Factors'!$W:$W,MATCH(AQ$5,'PS List with Markup Factors'!$C:$C,0))</f>
        <v>Yes</v>
      </c>
      <c r="AR10" s="408" t="str">
        <f>INDEX('PS List with Markup Factors'!$W:$W,MATCH(AR$5,'PS List with Markup Factors'!$C:$C,0))</f>
        <v>Yes</v>
      </c>
      <c r="AS10" s="408" t="str">
        <f>INDEX('PS List with Markup Factors'!$W:$W,MATCH(AS$5,'PS List with Markup Factors'!$C:$C,0))</f>
        <v>Yes</v>
      </c>
      <c r="AT10" s="408" t="str">
        <f>INDEX('PS List with Markup Factors'!$W:$W,MATCH(AT$5,'PS List with Markup Factors'!$C:$C,0))</f>
        <v>Yes</v>
      </c>
      <c r="AU10" s="408" t="str">
        <f>INDEX('PS List with Markup Factors'!$W:$W,MATCH(AU$5,'PS List with Markup Factors'!$C:$C,0))</f>
        <v>Yes</v>
      </c>
      <c r="AV10" s="408" t="str">
        <f>INDEX('PS List with Markup Factors'!$W:$W,MATCH(AV$5,'PS List with Markup Factors'!$C:$C,0))</f>
        <v>Yes</v>
      </c>
      <c r="AW10" s="408" t="str">
        <f>INDEX('PS List with Markup Factors'!$W:$W,MATCH(AW$5,'PS List with Markup Factors'!$C:$C,0))</f>
        <v>Yes</v>
      </c>
      <c r="AX10" s="408" t="str">
        <f>INDEX('PS List with Markup Factors'!$W:$W,MATCH(AX$5,'PS List with Markup Factors'!$C:$C,0))</f>
        <v>Yes</v>
      </c>
      <c r="AY10" s="408" t="str">
        <f>INDEX('PS List with Markup Factors'!$W:$W,MATCH(AY$5,'PS List with Markup Factors'!$C:$C,0))</f>
        <v>Yes</v>
      </c>
      <c r="AZ10" s="408" t="str">
        <f>INDEX('PS List with Markup Factors'!$W:$W,MATCH(AZ$5,'PS List with Markup Factors'!$C:$C,0))</f>
        <v>Yes</v>
      </c>
      <c r="BA10" s="408" t="str">
        <f>INDEX('PS List with Markup Factors'!$W:$W,MATCH(BA$5,'PS List with Markup Factors'!$C:$C,0))</f>
        <v>Yes</v>
      </c>
      <c r="BB10" s="408" t="str">
        <f>INDEX('PS List with Markup Factors'!$W:$W,MATCH(BB$5,'PS List with Markup Factors'!$C:$C,0))</f>
        <v>Yes</v>
      </c>
      <c r="BC10" s="408" t="str">
        <f>INDEX('PS List with Markup Factors'!$W:$W,MATCH(BC$5,'PS List with Markup Factors'!$C:$C,0))</f>
        <v>Yes</v>
      </c>
      <c r="BD10" s="408" t="str">
        <f>INDEX('PS List with Markup Factors'!$W:$W,MATCH(BD$5,'PS List with Markup Factors'!$C:$C,0))</f>
        <v>Yes</v>
      </c>
      <c r="BE10" s="408" t="str">
        <f>INDEX('PS List with Markup Factors'!$W:$W,MATCH(BE$5,'PS List with Markup Factors'!$C:$C,0))</f>
        <v>Yes</v>
      </c>
      <c r="BF10" s="408" t="str">
        <f>INDEX('PS List with Markup Factors'!$W:$W,MATCH(BF$5,'PS List with Markup Factors'!$C:$C,0))</f>
        <v>Yes</v>
      </c>
      <c r="BG10" s="408" t="str">
        <f>INDEX('PS List with Markup Factors'!$W:$W,MATCH(BG$5,'PS List with Markup Factors'!$C:$C,0))</f>
        <v>Yes</v>
      </c>
    </row>
    <row r="11" spans="1:59" outlineLevel="1">
      <c r="B11" s="164" t="s">
        <v>224</v>
      </c>
      <c r="C11" s="53" t="s">
        <v>213</v>
      </c>
      <c r="D11">
        <v>50</v>
      </c>
      <c r="E11">
        <v>100</v>
      </c>
      <c r="F11">
        <v>200</v>
      </c>
      <c r="I11" s="53" t="s">
        <v>217</v>
      </c>
      <c r="M11" s="218" t="s">
        <v>225</v>
      </c>
      <c r="N11" t="s">
        <v>219</v>
      </c>
      <c r="O11" s="408" t="str">
        <f>INDEX('PS List with Markup Factors'!$AB:$AB,MATCH(O$5,'PS List with Markup Factors'!$C:$C,0))</f>
        <v>No</v>
      </c>
      <c r="P11" s="408" t="str">
        <f>INDEX('PS List with Markup Factors'!$AB:$AB,MATCH(P5,'PS List with Markup Factors'!$C:$C,0))</f>
        <v>No</v>
      </c>
      <c r="Q11" s="408" t="str">
        <f>INDEX('PS List with Markup Factors'!$AB:$AB,MATCH(Q5,'PS List with Markup Factors'!$C:$C,0))</f>
        <v>Yes</v>
      </c>
      <c r="R11" s="408" t="str">
        <f>INDEX('PS List with Markup Factors'!$AB:$AB,MATCH(R5,'PS List with Markup Factors'!$C:$C,0))</f>
        <v>Yes</v>
      </c>
      <c r="S11" s="408" t="str">
        <f>INDEX('PS List with Markup Factors'!$AB:$AB,MATCH(S5,'PS List with Markup Factors'!$C:$C,0))</f>
        <v>No</v>
      </c>
      <c r="T11" s="408" t="str">
        <f>INDEX('PS List with Markup Factors'!$AB:$AB,MATCH(T5,'PS List with Markup Factors'!$C:$C,0))</f>
        <v>Yes</v>
      </c>
      <c r="U11" s="408" t="str">
        <f>INDEX('PS List with Markup Factors'!$AB:$AB,MATCH(U5,'PS List with Markup Factors'!$C:$C,0))</f>
        <v>No</v>
      </c>
      <c r="V11" s="408" t="str">
        <f>INDEX('PS List with Markup Factors'!$AB:$AB,MATCH(V5,'PS List with Markup Factors'!$C:$C,0))</f>
        <v>No</v>
      </c>
      <c r="W11" s="408" t="str">
        <f>INDEX('PS List with Markup Factors'!$AB:$AB,MATCH(W5,'PS List with Markup Factors'!$C:$C,0))</f>
        <v>No</v>
      </c>
      <c r="X11" s="408" t="str">
        <f>INDEX('PS List with Markup Factors'!$AB:$AB,MATCH(X5,'PS List with Markup Factors'!$C:$C,0))</f>
        <v>Yes</v>
      </c>
      <c r="Y11" s="408" t="str">
        <f>INDEX('PS List with Markup Factors'!$AB:$AB,MATCH(Y5,'PS List with Markup Factors'!$C:$C,0))</f>
        <v>No</v>
      </c>
      <c r="Z11" s="408" t="str">
        <f>INDEX('PS List with Markup Factors'!$AB:$AB,MATCH(Z5,'PS List with Markup Factors'!$C:$C,0))</f>
        <v>No</v>
      </c>
      <c r="AA11" s="408" t="str">
        <f>INDEX('PS List with Markup Factors'!$AB:$AB,MATCH(AA5,'PS List with Markup Factors'!$C:$C,0))</f>
        <v>No</v>
      </c>
      <c r="AB11" s="408" t="str">
        <f>INDEX('PS List with Markup Factors'!$AB:$AB,MATCH(AB5,'PS List with Markup Factors'!$C:$C,0))</f>
        <v>No</v>
      </c>
      <c r="AC11" s="408" t="str">
        <f>INDEX('PS List with Markup Factors'!$AB:$AB,MATCH(AC5,'PS List with Markup Factors'!$C:$C,0))</f>
        <v>No</v>
      </c>
      <c r="AD11" s="408" t="str">
        <f>INDEX('PS List with Markup Factors'!$AB:$AB,MATCH(AD5,'PS List with Markup Factors'!$C:$C,0))</f>
        <v>Yes</v>
      </c>
      <c r="AE11" s="408" t="str">
        <f>INDEX('PS List with Markup Factors'!$AB:$AB,MATCH(AE5,'PS List with Markup Factors'!$C:$C,0))</f>
        <v>No</v>
      </c>
      <c r="AF11" s="408" t="str">
        <f>INDEX('PS List with Markup Factors'!$AB:$AB,MATCH(AF5,'PS List with Markup Factors'!$C:$C,0))</f>
        <v>No</v>
      </c>
      <c r="AG11" s="408" t="str">
        <f>INDEX('PS List with Markup Factors'!$AB:$AB,MATCH(AG5,'PS List with Markup Factors'!$C:$C,0))</f>
        <v>No</v>
      </c>
      <c r="AH11" s="408" t="str">
        <f>INDEX('PS List with Markup Factors'!$AB:$AB,MATCH(AH5,'PS List with Markup Factors'!$C:$C,0))</f>
        <v>Yes</v>
      </c>
      <c r="AI11" s="408" t="str">
        <f>INDEX('PS List with Markup Factors'!$AB:$AB,MATCH(AI5,'PS List with Markup Factors'!$C:$C,0))</f>
        <v>No</v>
      </c>
      <c r="AJ11" s="408" t="str">
        <f>INDEX('PS List with Markup Factors'!$AB:$AB,MATCH(AJ5,'PS List with Markup Factors'!$C:$C,0))</f>
        <v>No</v>
      </c>
      <c r="AK11" s="408" t="str">
        <f>INDEX('PS List with Markup Factors'!$AB:$AB,MATCH(AK5,'PS List with Markup Factors'!$C:$C,0))</f>
        <v>Yes</v>
      </c>
      <c r="AL11" s="408" t="str">
        <f>INDEX('PS List with Markup Factors'!$AB:$AB,MATCH(AL5,'PS List with Markup Factors'!$C:$C,0))</f>
        <v>No</v>
      </c>
      <c r="AM11" s="408" t="str">
        <f>INDEX('PS List with Markup Factors'!$AB:$AB,MATCH(AM5,'PS List with Markup Factors'!$C:$C,0))</f>
        <v>Yes</v>
      </c>
      <c r="AN11" s="408" t="str">
        <f>INDEX('PS List with Markup Factors'!$AB:$AB,MATCH(AN5,'PS List with Markup Factors'!$C:$C,0))</f>
        <v>No</v>
      </c>
      <c r="AO11" s="408" t="str">
        <f>INDEX('PS List with Markup Factors'!$AB:$AB,MATCH(AO5,'PS List with Markup Factors'!$C:$C,0))</f>
        <v>No</v>
      </c>
      <c r="AP11" s="408" t="str">
        <f>INDEX('PS List with Markup Factors'!$AB:$AB,MATCH(AP5,'PS List with Markup Factors'!$C:$C,0))</f>
        <v>No</v>
      </c>
      <c r="AQ11" s="408" t="str">
        <f>INDEX('PS List with Markup Factors'!$AB:$AB,MATCH(AQ5,'PS List with Markup Factors'!$C:$C,0))</f>
        <v>No</v>
      </c>
      <c r="AR11" s="408" t="str">
        <f>INDEX('PS List with Markup Factors'!$AB:$AB,MATCH(AR5,'PS List with Markup Factors'!$C:$C,0))</f>
        <v>No</v>
      </c>
      <c r="AS11" s="408" t="str">
        <f>INDEX('PS List with Markup Factors'!$AB:$AB,MATCH(AS5,'PS List with Markup Factors'!$C:$C,0))</f>
        <v>Yes</v>
      </c>
      <c r="AT11" s="408" t="str">
        <f>INDEX('PS List with Markup Factors'!$AB:$AB,MATCH(AT5,'PS List with Markup Factors'!$C:$C,0))</f>
        <v>No</v>
      </c>
      <c r="AU11" s="408" t="str">
        <f>INDEX('PS List with Markup Factors'!$AB:$AB,MATCH(AU5,'PS List with Markup Factors'!$C:$C,0))</f>
        <v>No</v>
      </c>
      <c r="AV11" s="408" t="str">
        <f>INDEX('PS List with Markup Factors'!$AB:$AB,MATCH(AV5,'PS List with Markup Factors'!$C:$C,0))</f>
        <v>Yes</v>
      </c>
      <c r="AW11" s="408" t="str">
        <f>INDEX('PS List with Markup Factors'!$AB:$AB,MATCH(AW5,'PS List with Markup Factors'!$C:$C,0))</f>
        <v>Yes</v>
      </c>
      <c r="AX11" s="408" t="str">
        <f>INDEX('PS List with Markup Factors'!$AB:$AB,MATCH(AX5,'PS List with Markup Factors'!$C:$C,0))</f>
        <v>No</v>
      </c>
      <c r="AY11" s="408" t="str">
        <f>INDEX('PS List with Markup Factors'!$AB:$AB,MATCH(AY5,'PS List with Markup Factors'!$C:$C,0))</f>
        <v>Yes</v>
      </c>
      <c r="AZ11" s="408" t="str">
        <f>INDEX('PS List with Markup Factors'!$AB:$AB,MATCH(AZ5,'PS List with Markup Factors'!$C:$C,0))</f>
        <v>Yes</v>
      </c>
      <c r="BA11" s="408" t="str">
        <f>INDEX('PS List with Markup Factors'!$AB:$AB,MATCH(BA5,'PS List with Markup Factors'!$C:$C,0))</f>
        <v>Yes</v>
      </c>
      <c r="BB11" s="408" t="str">
        <f>INDEX('PS List with Markup Factors'!$AB:$AB,MATCH(BB5,'PS List with Markup Factors'!$C:$C,0))</f>
        <v>No</v>
      </c>
      <c r="BC11" s="408" t="str">
        <f>INDEX('PS List with Markup Factors'!$AB:$AB,MATCH(BC5,'PS List with Markup Factors'!$C:$C,0))</f>
        <v>No</v>
      </c>
      <c r="BD11" s="408" t="str">
        <f>INDEX('PS List with Markup Factors'!$AB:$AB,MATCH(BD5,'PS List with Markup Factors'!$C:$C,0))</f>
        <v>No</v>
      </c>
      <c r="BE11" s="408" t="str">
        <f>INDEX('PS List with Markup Factors'!$AB:$AB,MATCH(BE5,'PS List with Markup Factors'!$C:$C,0))</f>
        <v>Yes</v>
      </c>
      <c r="BF11" s="408" t="str">
        <f>INDEX('PS List with Markup Factors'!$AB:$AB,MATCH(BF5,'PS List with Markup Factors'!$C:$C,0))</f>
        <v>No</v>
      </c>
      <c r="BG11" s="408" t="str">
        <f>INDEX('PS List with Markup Factors'!$AB:$AB,MATCH(BG5,'PS List with Markup Factors'!$C:$C,0))</f>
        <v>No</v>
      </c>
    </row>
    <row r="12" spans="1:59" outlineLevel="1">
      <c r="B12" s="164" t="s">
        <v>226</v>
      </c>
      <c r="C12" s="53"/>
      <c r="D12">
        <v>2</v>
      </c>
      <c r="E12">
        <v>2</v>
      </c>
      <c r="F12">
        <v>2</v>
      </c>
      <c r="I12" s="53" t="s">
        <v>227</v>
      </c>
      <c r="M12" s="218" t="s">
        <v>228</v>
      </c>
      <c r="N12" t="s">
        <v>229</v>
      </c>
      <c r="O12" s="408" t="str">
        <f>INDEX('PS List with Markup Factors'!$Y:$Y,MATCH(O$5,'PS List with Markup Factors'!$C:$C,0))</f>
        <v>None</v>
      </c>
      <c r="P12" s="408" t="str">
        <f>INDEX('PS List with Markup Factors'!$Y:$Y,MATCH(P$5,'PS List with Markup Factors'!$C:$C,0))</f>
        <v>None</v>
      </c>
      <c r="Q12" s="408" t="str">
        <f>INDEX('PS List with Markup Factors'!$Y:$Y,MATCH(Q$5,'PS List with Markup Factors'!$C:$C,0))</f>
        <v>Medium</v>
      </c>
      <c r="R12" s="408" t="str">
        <f>INDEX('PS List with Markup Factors'!$Y:$Y,MATCH(R$5,'PS List with Markup Factors'!$C:$C,0))</f>
        <v>None</v>
      </c>
      <c r="S12" s="408" t="str">
        <f>INDEX('PS List with Markup Factors'!$Y:$Y,MATCH(S$5,'PS List with Markup Factors'!$C:$C,0))</f>
        <v>None</v>
      </c>
      <c r="T12" s="408" t="str">
        <f>INDEX('PS List with Markup Factors'!$Y:$Y,MATCH(T$5,'PS List with Markup Factors'!$C:$C,0))</f>
        <v>None</v>
      </c>
      <c r="U12" s="408" t="str">
        <f>INDEX('PS List with Markup Factors'!$Y:$Y,MATCH(U$5,'PS List with Markup Factors'!$C:$C,0))</f>
        <v>None</v>
      </c>
      <c r="V12" s="408" t="str">
        <f>INDEX('PS List with Markup Factors'!$Y:$Y,MATCH(V$5,'PS List with Markup Factors'!$C:$C,0))</f>
        <v>None</v>
      </c>
      <c r="W12" s="408" t="str">
        <f>INDEX('PS List with Markup Factors'!$Y:$Y,MATCH(W$5,'PS List with Markup Factors'!$C:$C,0))</f>
        <v>Medium</v>
      </c>
      <c r="X12" s="408" t="str">
        <f>INDEX('PS List with Markup Factors'!$Y:$Y,MATCH(X$5,'PS List with Markup Factors'!$C:$C,0))</f>
        <v>None</v>
      </c>
      <c r="Y12" s="408" t="str">
        <f>INDEX('PS List with Markup Factors'!$Y:$Y,MATCH(Y$5,'PS List with Markup Factors'!$C:$C,0))</f>
        <v>None</v>
      </c>
      <c r="Z12" s="408" t="str">
        <f>INDEX('PS List with Markup Factors'!$Y:$Y,MATCH(Z$5,'PS List with Markup Factors'!$C:$C,0))</f>
        <v>None</v>
      </c>
      <c r="AA12" s="408" t="str">
        <f>INDEX('PS List with Markup Factors'!$Y:$Y,MATCH(AA$5,'PS List with Markup Factors'!$C:$C,0))</f>
        <v>None</v>
      </c>
      <c r="AB12" s="408" t="str">
        <f>INDEX('PS List with Markup Factors'!$Y:$Y,MATCH(AB$5,'PS List with Markup Factors'!$C:$C,0))</f>
        <v>None</v>
      </c>
      <c r="AC12" s="408" t="str">
        <f>INDEX('PS List with Markup Factors'!$Y:$Y,MATCH(AC$5,'PS List with Markup Factors'!$C:$C,0))</f>
        <v>Medium</v>
      </c>
      <c r="AD12" s="408" t="str">
        <f>INDEX('PS List with Markup Factors'!$Y:$Y,MATCH(AD$5,'PS List with Markup Factors'!$C:$C,0))</f>
        <v>High</v>
      </c>
      <c r="AE12" s="408" t="str">
        <f>INDEX('PS List with Markup Factors'!$Y:$Y,MATCH(AE$5,'PS List with Markup Factors'!$C:$C,0))</f>
        <v>High</v>
      </c>
      <c r="AF12" s="408" t="str">
        <f>INDEX('PS List with Markup Factors'!$Y:$Y,MATCH(AF$5,'PS List with Markup Factors'!$C:$C,0))</f>
        <v>None</v>
      </c>
      <c r="AG12" s="408" t="str">
        <f>INDEX('PS List with Markup Factors'!$Y:$Y,MATCH(AG$5,'PS List with Markup Factors'!$C:$C,0))</f>
        <v xml:space="preserve">None </v>
      </c>
      <c r="AH12" s="408" t="str">
        <f>INDEX('PS List with Markup Factors'!$Y:$Y,MATCH(AH$5,'PS List with Markup Factors'!$C:$C,0))</f>
        <v>Minor</v>
      </c>
      <c r="AI12" s="408" t="str">
        <f>INDEX('PS List with Markup Factors'!$Y:$Y,MATCH(AI$5,'PS List with Markup Factors'!$C:$C,0))</f>
        <v>None</v>
      </c>
      <c r="AJ12" s="408" t="str">
        <f>INDEX('PS List with Markup Factors'!$Y:$Y,MATCH(AJ$5,'PS List with Markup Factors'!$C:$C,0))</f>
        <v>N/A</v>
      </c>
      <c r="AK12" s="408" t="str">
        <f>INDEX('PS List with Markup Factors'!$Y:$Y,MATCH(AK$5,'PS List with Markup Factors'!$C:$C,0))</f>
        <v>Medium</v>
      </c>
      <c r="AL12" s="408" t="str">
        <f>INDEX('PS List with Markup Factors'!$Y:$Y,MATCH(AL$5,'PS List with Markup Factors'!$C:$C,0))</f>
        <v>None</v>
      </c>
      <c r="AM12" s="408" t="str">
        <f>INDEX('PS List with Markup Factors'!$Y:$Y,MATCH(AM$5,'PS List with Markup Factors'!$C:$C,0))</f>
        <v>None</v>
      </c>
      <c r="AN12" s="408" t="str">
        <f>INDEX('PS List with Markup Factors'!$Y:$Y,MATCH(AN$5,'PS List with Markup Factors'!$C:$C,0))</f>
        <v>Medium</v>
      </c>
      <c r="AO12" s="408" t="str">
        <f>INDEX('PS List with Markup Factors'!$Y:$Y,MATCH(AO$5,'PS List with Markup Factors'!$C:$C,0))</f>
        <v>High</v>
      </c>
      <c r="AP12" s="408" t="str">
        <f>INDEX('PS List with Markup Factors'!$Y:$Y,MATCH(AP$5,'PS List with Markup Factors'!$C:$C,0))</f>
        <v>High</v>
      </c>
      <c r="AQ12" s="408" t="str">
        <f>INDEX('PS List with Markup Factors'!$Y:$Y,MATCH(AQ$5,'PS List with Markup Factors'!$C:$C,0))</f>
        <v>High</v>
      </c>
      <c r="AR12" s="408" t="str">
        <f>INDEX('PS List with Markup Factors'!$Y:$Y,MATCH(AR$5,'PS List with Markup Factors'!$C:$C,0))</f>
        <v>Minor</v>
      </c>
      <c r="AS12" s="408" t="str">
        <f>INDEX('PS List with Markup Factors'!$Y:$Y,MATCH(AS$5,'PS List with Markup Factors'!$C:$C,0))</f>
        <v>None</v>
      </c>
      <c r="AT12" s="408" t="str">
        <f>INDEX('PS List with Markup Factors'!$Y:$Y,MATCH(AT$5,'PS List with Markup Factors'!$C:$C,0))</f>
        <v>None</v>
      </c>
      <c r="AU12" s="408" t="str">
        <f>INDEX('PS List with Markup Factors'!$Y:$Y,MATCH(AU$5,'PS List with Markup Factors'!$C:$C,0))</f>
        <v>None</v>
      </c>
      <c r="AV12" s="408" t="str">
        <f>INDEX('PS List with Markup Factors'!$Y:$Y,MATCH(AV$5,'PS List with Markup Factors'!$C:$C,0))</f>
        <v>Medium</v>
      </c>
      <c r="AW12" s="408" t="str">
        <f>INDEX('PS List with Markup Factors'!$Y:$Y,MATCH(AW$5,'PS List with Markup Factors'!$C:$C,0))</f>
        <v>None</v>
      </c>
      <c r="AX12" s="408" t="str">
        <f>INDEX('PS List with Markup Factors'!$Y:$Y,MATCH(AX$5,'PS List with Markup Factors'!$C:$C,0))</f>
        <v>None</v>
      </c>
      <c r="AY12" s="408" t="str">
        <f>INDEX('PS List with Markup Factors'!$Y:$Y,MATCH(AY$5,'PS List with Markup Factors'!$C:$C,0))</f>
        <v>None</v>
      </c>
      <c r="AZ12" s="408" t="str">
        <f>INDEX('PS List with Markup Factors'!$Y:$Y,MATCH(AZ$5,'PS List with Markup Factors'!$C:$C,0))</f>
        <v>None</v>
      </c>
      <c r="BA12" s="408" t="str">
        <f>INDEX('PS List with Markup Factors'!$Y:$Y,MATCH(BA$5,'PS List with Markup Factors'!$C:$C,0))</f>
        <v>Medium</v>
      </c>
      <c r="BB12" s="408" t="str">
        <f>INDEX('PS List with Markup Factors'!$Y:$Y,MATCH(BB$5,'PS List with Markup Factors'!$C:$C,0))</f>
        <v>None</v>
      </c>
      <c r="BC12" s="408" t="str">
        <f>INDEX('PS List with Markup Factors'!$Y:$Y,MATCH(BC$5,'PS List with Markup Factors'!$C:$C,0))</f>
        <v>None</v>
      </c>
      <c r="BD12" s="408" t="str">
        <f>INDEX('PS List with Markup Factors'!$Y:$Y,MATCH(BD$5,'PS List with Markup Factors'!$C:$C,0))</f>
        <v>None</v>
      </c>
      <c r="BE12" s="408" t="str">
        <f>INDEX('PS List with Markup Factors'!$Y:$Y,MATCH(BE$5,'PS List with Markup Factors'!$C:$C,0))</f>
        <v>None</v>
      </c>
      <c r="BF12" s="408" t="str">
        <f>INDEX('PS List with Markup Factors'!$Y:$Y,MATCH(BF$5,'PS List with Markup Factors'!$C:$C,0))</f>
        <v>None</v>
      </c>
      <c r="BG12" s="408" t="str">
        <f>INDEX('PS List with Markup Factors'!$Y:$Y,MATCH(BG$5,'PS List with Markup Factors'!$C:$C,0))</f>
        <v>No</v>
      </c>
    </row>
    <row r="13" spans="1:59" outlineLevel="1">
      <c r="B13" s="164" t="s">
        <v>230</v>
      </c>
      <c r="C13" s="53"/>
      <c r="D13">
        <v>2</v>
      </c>
      <c r="E13">
        <v>2</v>
      </c>
      <c r="F13">
        <v>2</v>
      </c>
      <c r="I13" s="53" t="s">
        <v>231</v>
      </c>
      <c r="M13" s="218" t="s">
        <v>232</v>
      </c>
      <c r="N13" t="s">
        <v>233</v>
      </c>
      <c r="O13" s="408" t="str">
        <f>INDEX('PS List with Markup Factors'!$V:$V,MATCH(O$5,'PS List with Markup Factors'!$C:$C,0))</f>
        <v>None</v>
      </c>
      <c r="P13" s="408" t="str">
        <f>INDEX('PS List with Markup Factors'!$V:$V,MATCH(P$5,'PS List with Markup Factors'!$C:$C,0))</f>
        <v>None</v>
      </c>
      <c r="Q13" s="408" t="str">
        <f>INDEX('PS List with Markup Factors'!$V:$V,MATCH(Q$5,'PS List with Markup Factors'!$C:$C,0))</f>
        <v>Minor</v>
      </c>
      <c r="R13" s="408" t="str">
        <f>INDEX('PS List with Markup Factors'!$V:$V,MATCH(R$5,'PS List with Markup Factors'!$C:$C,0))</f>
        <v>None</v>
      </c>
      <c r="S13" s="408" t="str">
        <f>INDEX('PS List with Markup Factors'!$V:$V,MATCH(S$5,'PS List with Markup Factors'!$C:$C,0))</f>
        <v>Minor</v>
      </c>
      <c r="T13" s="408" t="str">
        <f>INDEX('PS List with Markup Factors'!$V:$V,MATCH(T$5,'PS List with Markup Factors'!$C:$C,0))</f>
        <v>None</v>
      </c>
      <c r="U13" s="408" t="str">
        <f>INDEX('PS List with Markup Factors'!$V:$V,MATCH(U$5,'PS List with Markup Factors'!$C:$C,0))</f>
        <v>None</v>
      </c>
      <c r="V13" s="408" t="str">
        <f>INDEX('PS List with Markup Factors'!$V:$V,MATCH(V$5,'PS List with Markup Factors'!$C:$C,0))</f>
        <v>Minor</v>
      </c>
      <c r="W13" s="408" t="str">
        <f>INDEX('PS List with Markup Factors'!$V:$V,MATCH(W$5,'PS List with Markup Factors'!$C:$C,0))</f>
        <v>None</v>
      </c>
      <c r="X13" s="408" t="str">
        <f>INDEX('PS List with Markup Factors'!$V:$V,MATCH(X$5,'PS List with Markup Factors'!$C:$C,0))</f>
        <v>None</v>
      </c>
      <c r="Y13" s="408" t="str">
        <f>INDEX('PS List with Markup Factors'!$V:$V,MATCH(Y$5,'PS List with Markup Factors'!$C:$C,0))</f>
        <v>None</v>
      </c>
      <c r="Z13" s="408" t="str">
        <f>INDEX('PS List with Markup Factors'!$V:$V,MATCH(Z$5,'PS List with Markup Factors'!$C:$C,0))</f>
        <v>None</v>
      </c>
      <c r="AA13" s="408" t="str">
        <f>INDEX('PS List with Markup Factors'!$V:$V,MATCH(AA$5,'PS List with Markup Factors'!$C:$C,0))</f>
        <v>Minor</v>
      </c>
      <c r="AB13" s="408" t="str">
        <f>INDEX('PS List with Markup Factors'!$V:$V,MATCH(AB$5,'PS List with Markup Factors'!$C:$C,0))</f>
        <v>None</v>
      </c>
      <c r="AC13" s="408" t="str">
        <f>INDEX('PS List with Markup Factors'!$V:$V,MATCH(AC$5,'PS List with Markup Factors'!$C:$C,0))</f>
        <v>None</v>
      </c>
      <c r="AD13" s="408" t="str">
        <f>INDEX('PS List with Markup Factors'!$V:$V,MATCH(AD$5,'PS List with Markup Factors'!$C:$C,0))</f>
        <v>Medium</v>
      </c>
      <c r="AE13" s="408" t="str">
        <f>INDEX('PS List with Markup Factors'!$V:$V,MATCH(AE$5,'PS List with Markup Factors'!$C:$C,0))</f>
        <v>Medium</v>
      </c>
      <c r="AF13" s="408" t="str">
        <f>INDEX('PS List with Markup Factors'!$V:$V,MATCH(AF$5,'PS List with Markup Factors'!$C:$C,0))</f>
        <v>None</v>
      </c>
      <c r="AG13" s="408" t="str">
        <f>INDEX('PS List with Markup Factors'!$V:$V,MATCH(AG$5,'PS List with Markup Factors'!$C:$C,0))</f>
        <v>Minor</v>
      </c>
      <c r="AH13" s="408" t="str">
        <f>INDEX('PS List with Markup Factors'!$V:$V,MATCH(AH$5,'PS List with Markup Factors'!$C:$C,0))</f>
        <v>None</v>
      </c>
      <c r="AI13" s="408" t="str">
        <f>INDEX('PS List with Markup Factors'!$V:$V,MATCH(AI$5,'PS List with Markup Factors'!$C:$C,0))</f>
        <v>Minor</v>
      </c>
      <c r="AJ13" s="408" t="str">
        <f>INDEX('PS List with Markup Factors'!$V:$V,MATCH(AJ$5,'PS List with Markup Factors'!$C:$C,0))</f>
        <v>None</v>
      </c>
      <c r="AK13" s="408" t="str">
        <f>INDEX('PS List with Markup Factors'!$V:$V,MATCH(AK$5,'PS List with Markup Factors'!$C:$C,0))</f>
        <v>Minor</v>
      </c>
      <c r="AL13" s="408" t="str">
        <f>INDEX('PS List with Markup Factors'!$V:$V,MATCH(AL$5,'PS List with Markup Factors'!$C:$C,0))</f>
        <v>None</v>
      </c>
      <c r="AM13" s="408" t="str">
        <f>INDEX('PS List with Markup Factors'!$V:$V,MATCH(AM$5,'PS List with Markup Factors'!$C:$C,0))</f>
        <v>None</v>
      </c>
      <c r="AN13" s="408" t="str">
        <f>INDEX('PS List with Markup Factors'!$V:$V,MATCH(AN$5,'PS List with Markup Factors'!$C:$C,0))</f>
        <v>Minor</v>
      </c>
      <c r="AO13" s="408" t="str">
        <f>INDEX('PS List with Markup Factors'!$V:$V,MATCH(AO$5,'PS List with Markup Factors'!$C:$C,0))</f>
        <v>Minor</v>
      </c>
      <c r="AP13" s="408" t="str">
        <f>INDEX('PS List with Markup Factors'!$V:$V,MATCH(AP$5,'PS List with Markup Factors'!$C:$C,0))</f>
        <v>None</v>
      </c>
      <c r="AQ13" s="408" t="str">
        <f>INDEX('PS List with Markup Factors'!$V:$V,MATCH(AQ$5,'PS List with Markup Factors'!$C:$C,0))</f>
        <v>Minor</v>
      </c>
      <c r="AR13" s="408" t="str">
        <f>INDEX('PS List with Markup Factors'!$V:$V,MATCH(AR$5,'PS List with Markup Factors'!$C:$C,0))</f>
        <v>None</v>
      </c>
      <c r="AS13" s="408" t="str">
        <f>INDEX('PS List with Markup Factors'!$V:$V,MATCH(AS$5,'PS List with Markup Factors'!$C:$C,0))</f>
        <v>None</v>
      </c>
      <c r="AT13" s="408" t="str">
        <f>INDEX('PS List with Markup Factors'!$V:$V,MATCH(AT$5,'PS List with Markup Factors'!$C:$C,0))</f>
        <v>None</v>
      </c>
      <c r="AU13" s="408" t="str">
        <f>INDEX('PS List with Markup Factors'!$V:$V,MATCH(AU$5,'PS List with Markup Factors'!$C:$C,0))</f>
        <v>Medium</v>
      </c>
      <c r="AV13" s="408" t="str">
        <f>INDEX('PS List with Markup Factors'!$V:$V,MATCH(AV$5,'PS List with Markup Factors'!$C:$C,0))</f>
        <v>Minor</v>
      </c>
      <c r="AW13" s="408" t="str">
        <f>INDEX('PS List with Markup Factors'!$V:$V,MATCH(AW$5,'PS List with Markup Factors'!$C:$C,0))</f>
        <v>None</v>
      </c>
      <c r="AX13" s="408" t="str">
        <f>INDEX('PS List with Markup Factors'!$V:$V,MATCH(AX$5,'PS List with Markup Factors'!$C:$C,0))</f>
        <v>Minor</v>
      </c>
      <c r="AY13" s="408" t="str">
        <f>INDEX('PS List with Markup Factors'!$V:$V,MATCH(AY$5,'PS List with Markup Factors'!$C:$C,0))</f>
        <v>None</v>
      </c>
      <c r="AZ13" s="408" t="str">
        <f>INDEX('PS List with Markup Factors'!$V:$V,MATCH(AZ$5,'PS List with Markup Factors'!$C:$C,0))</f>
        <v>None</v>
      </c>
      <c r="BA13" s="408" t="str">
        <f>INDEX('PS List with Markup Factors'!$V:$V,MATCH(BA$5,'PS List with Markup Factors'!$C:$C,0))</f>
        <v>Medium</v>
      </c>
      <c r="BB13" s="408" t="str">
        <f>INDEX('PS List with Markup Factors'!$V:$V,MATCH(BB$5,'PS List with Markup Factors'!$C:$C,0))</f>
        <v>Minor</v>
      </c>
      <c r="BC13" s="408" t="str">
        <f>INDEX('PS List with Markup Factors'!$V:$V,MATCH(BC$5,'PS List with Markup Factors'!$C:$C,0))</f>
        <v>Minor</v>
      </c>
      <c r="BD13" s="408" t="str">
        <f>INDEX('PS List with Markup Factors'!$V:$V,MATCH(BD$5,'PS List with Markup Factors'!$C:$C,0))</f>
        <v>None</v>
      </c>
      <c r="BE13" s="408" t="str">
        <f>INDEX('PS List with Markup Factors'!$V:$V,MATCH(BE$5,'PS List with Markup Factors'!$C:$C,0))</f>
        <v>None</v>
      </c>
      <c r="BF13" s="408" t="str">
        <f>INDEX('PS List with Markup Factors'!$V:$V,MATCH(BF$5,'PS List with Markup Factors'!$C:$C,0))</f>
        <v>None</v>
      </c>
      <c r="BG13" s="408" t="str">
        <f>INDEX('PS List with Markup Factors'!$V:$V,MATCH(BG$5,'PS List with Markup Factors'!$C:$C,0))</f>
        <v>None</v>
      </c>
    </row>
    <row r="14" spans="1:59" outlineLevel="1">
      <c r="B14" s="164" t="s">
        <v>234</v>
      </c>
      <c r="C14" s="53"/>
      <c r="D14">
        <v>2</v>
      </c>
      <c r="E14">
        <v>2</v>
      </c>
      <c r="F14">
        <v>2</v>
      </c>
      <c r="I14" s="53" t="s">
        <v>231</v>
      </c>
      <c r="M14" s="218" t="s">
        <v>235</v>
      </c>
      <c r="N14" t="s">
        <v>236</v>
      </c>
      <c r="O14" s="408" t="str">
        <f>INDEX('PS List with Markup Factors'!$Z:$Z,MATCH(O$5,'PS List with Markup Factors'!$C:$C,0))</f>
        <v>None</v>
      </c>
      <c r="P14" s="408" t="str">
        <f>INDEX('PS List with Markup Factors'!$Z:$Z,MATCH(P$5,'PS List with Markup Factors'!$C:$C,0))</f>
        <v>At Road</v>
      </c>
      <c r="Q14" s="408" t="str">
        <f>INDEX('PS List with Markup Factors'!$Z:$Z,MATCH(Q$5,'PS List with Markup Factors'!$C:$C,0))</f>
        <v>At Road</v>
      </c>
      <c r="R14" s="408" t="str">
        <f>INDEX('PS List with Markup Factors'!$Z:$Z,MATCH(R$5,'PS List with Markup Factors'!$C:$C,0))</f>
        <v>Far</v>
      </c>
      <c r="S14" s="408" t="str">
        <f>INDEX('PS List with Markup Factors'!$Z:$Z,MATCH(S$5,'PS List with Markup Factors'!$C:$C,0))</f>
        <v>Far</v>
      </c>
      <c r="T14" s="408" t="str">
        <f>INDEX('PS List with Markup Factors'!$Z:$Z,MATCH(T$5,'PS List with Markup Factors'!$C:$C,0))</f>
        <v>At Road</v>
      </c>
      <c r="U14" s="408" t="str">
        <f>INDEX('PS List with Markup Factors'!$Z:$Z,MATCH(U$5,'PS List with Markup Factors'!$C:$C,0))</f>
        <v>At Road</v>
      </c>
      <c r="V14" s="408" t="str">
        <f>INDEX('PS List with Markup Factors'!$Z:$Z,MATCH(V$5,'PS List with Markup Factors'!$C:$C,0))</f>
        <v>Far</v>
      </c>
      <c r="W14" s="408" t="str">
        <f>INDEX('PS List with Markup Factors'!$Z:$Z,MATCH(W$5,'PS List with Markup Factors'!$C:$C,0))</f>
        <v>At Road</v>
      </c>
      <c r="X14" s="408" t="str">
        <f>INDEX('PS List with Markup Factors'!$Z:$Z,MATCH(X$5,'PS List with Markup Factors'!$C:$C,0))</f>
        <v>At Road</v>
      </c>
      <c r="Y14" s="408" t="str">
        <f>INDEX('PS List with Markup Factors'!$Z:$Z,MATCH(Y$5,'PS List with Markup Factors'!$C:$C,0))</f>
        <v>Far</v>
      </c>
      <c r="Z14" s="408" t="str">
        <f>INDEX('PS List with Markup Factors'!$Z:$Z,MATCH(Z$5,'PS List with Markup Factors'!$C:$C,0))</f>
        <v>On Site</v>
      </c>
      <c r="AA14" s="408" t="str">
        <f>INDEX('PS List with Markup Factors'!$Z:$Z,MATCH(AA$5,'PS List with Markup Factors'!$C:$C,0))</f>
        <v>At Road</v>
      </c>
      <c r="AB14" s="408" t="str">
        <f>INDEX('PS List with Markup Factors'!$Z:$Z,MATCH(AB$5,'PS List with Markup Factors'!$C:$C,0))</f>
        <v>At Road</v>
      </c>
      <c r="AC14" s="408" t="str">
        <f>INDEX('PS List with Markup Factors'!$Z:$Z,MATCH(AC$5,'PS List with Markup Factors'!$C:$C,0))</f>
        <v>At Road</v>
      </c>
      <c r="AD14" s="408" t="str">
        <f>INDEX('PS List with Markup Factors'!$Z:$Z,MATCH(AD$5,'PS List with Markup Factors'!$C:$C,0))</f>
        <v>At Road</v>
      </c>
      <c r="AE14" s="408" t="str">
        <f>INDEX('PS List with Markup Factors'!$Z:$Z,MATCH(AE$5,'PS List with Markup Factors'!$C:$C,0))</f>
        <v>At Road</v>
      </c>
      <c r="AF14" s="408" t="str">
        <f>INDEX('PS List with Markup Factors'!$Z:$Z,MATCH(AF$5,'PS List with Markup Factors'!$C:$C,0))</f>
        <v>Far</v>
      </c>
      <c r="AG14" s="408" t="str">
        <f>INDEX('PS List with Markup Factors'!$Z:$Z,MATCH(AG$5,'PS List with Markup Factors'!$C:$C,0))</f>
        <v>Far</v>
      </c>
      <c r="AH14" s="408" t="str">
        <f>INDEX('PS List with Markup Factors'!$Z:$Z,MATCH(AH$5,'PS List with Markup Factors'!$C:$C,0))</f>
        <v>None</v>
      </c>
      <c r="AI14" s="408" t="str">
        <f>INDEX('PS List with Markup Factors'!$Z:$Z,MATCH(AI$5,'PS List with Markup Factors'!$C:$C,0))</f>
        <v>At Road</v>
      </c>
      <c r="AJ14" s="408" t="str">
        <f>INDEX('PS List with Markup Factors'!$Z:$Z,MATCH(AJ$5,'PS List with Markup Factors'!$C:$C,0))</f>
        <v>At Road</v>
      </c>
      <c r="AK14" s="408" t="str">
        <f>INDEX('PS List with Markup Factors'!$Z:$Z,MATCH(AK$5,'PS List with Markup Factors'!$C:$C,0))</f>
        <v>At Road</v>
      </c>
      <c r="AL14" s="408" t="str">
        <f>INDEX('PS List with Markup Factors'!$Z:$Z,MATCH(AL$5,'PS List with Markup Factors'!$C:$C,0))</f>
        <v>At Road</v>
      </c>
      <c r="AM14" s="408" t="str">
        <f>INDEX('PS List with Markup Factors'!$Z:$Z,MATCH(AM$5,'PS List with Markup Factors'!$C:$C,0))</f>
        <v>At Road</v>
      </c>
      <c r="AN14" s="408" t="str">
        <f>INDEX('PS List with Markup Factors'!$Z:$Z,MATCH(AN$5,'PS List with Markup Factors'!$C:$C,0))</f>
        <v>At Road</v>
      </c>
      <c r="AO14" s="408" t="str">
        <f>INDEX('PS List with Markup Factors'!$Z:$Z,MATCH(AO$5,'PS List with Markup Factors'!$C:$C,0))</f>
        <v>At Road</v>
      </c>
      <c r="AP14" s="408" t="str">
        <f>INDEX('PS List with Markup Factors'!$Z:$Z,MATCH(AP$5,'PS List with Markup Factors'!$C:$C,0))</f>
        <v>At Road</v>
      </c>
      <c r="AQ14" s="408" t="str">
        <f>INDEX('PS List with Markup Factors'!$Z:$Z,MATCH(AQ$5,'PS List with Markup Factors'!$C:$C,0))</f>
        <v>On Site</v>
      </c>
      <c r="AR14" s="408" t="str">
        <f>INDEX('PS List with Markup Factors'!$Z:$Z,MATCH(AR$5,'PS List with Markup Factors'!$C:$C,0))</f>
        <v>At Road</v>
      </c>
      <c r="AS14" s="408" t="str">
        <f>INDEX('PS List with Markup Factors'!$Z:$Z,MATCH(AS$5,'PS List with Markup Factors'!$C:$C,0))</f>
        <v>At Road</v>
      </c>
      <c r="AT14" s="408" t="str">
        <f>INDEX('PS List with Markup Factors'!$Z:$Z,MATCH(AT$5,'PS List with Markup Factors'!$C:$C,0))</f>
        <v>Far</v>
      </c>
      <c r="AU14" s="408" t="str">
        <f>INDEX('PS List with Markup Factors'!$Z:$Z,MATCH(AU$5,'PS List with Markup Factors'!$C:$C,0))</f>
        <v>Far</v>
      </c>
      <c r="AV14" s="408" t="str">
        <f>INDEX('PS List with Markup Factors'!$Z:$Z,MATCH(AV$5,'PS List with Markup Factors'!$C:$C,0))</f>
        <v>At Road</v>
      </c>
      <c r="AW14" s="408" t="str">
        <f>INDEX('PS List with Markup Factors'!$Z:$Z,MATCH(AW$5,'PS List with Markup Factors'!$C:$C,0))</f>
        <v>At Road</v>
      </c>
      <c r="AX14" s="408" t="str">
        <f>INDEX('PS List with Markup Factors'!$Z:$Z,MATCH(AX$5,'PS List with Markup Factors'!$C:$C,0))</f>
        <v>Far</v>
      </c>
      <c r="AY14" s="408" t="str">
        <f>INDEX('PS List with Markup Factors'!$Z:$Z,MATCH(AY$5,'PS List with Markup Factors'!$C:$C,0))</f>
        <v>At Road</v>
      </c>
      <c r="AZ14" s="408" t="str">
        <f>INDEX('PS List with Markup Factors'!$Z:$Z,MATCH(AZ$5,'PS List with Markup Factors'!$C:$C,0))</f>
        <v>At Road</v>
      </c>
      <c r="BA14" s="408" t="str">
        <f>INDEX('PS List with Markup Factors'!$Z:$Z,MATCH(BA$5,'PS List with Markup Factors'!$C:$C,0))</f>
        <v>At Road</v>
      </c>
      <c r="BB14" s="408" t="str">
        <f>INDEX('PS List with Markup Factors'!$Z:$Z,MATCH(BB$5,'PS List with Markup Factors'!$C:$C,0))</f>
        <v>Far</v>
      </c>
      <c r="BC14" s="408" t="str">
        <f>INDEX('PS List with Markup Factors'!$Z:$Z,MATCH(BC$5,'PS List with Markup Factors'!$C:$C,0))</f>
        <v>Far</v>
      </c>
      <c r="BD14" s="408" t="str">
        <f>INDEX('PS List with Markup Factors'!$Z:$Z,MATCH(BD$5,'PS List with Markup Factors'!$C:$C,0))</f>
        <v>At Road</v>
      </c>
      <c r="BE14" s="408" t="str">
        <f>INDEX('PS List with Markup Factors'!$Z:$Z,MATCH(BE$5,'PS List with Markup Factors'!$C:$C,0))</f>
        <v>At Road</v>
      </c>
      <c r="BF14" s="408" t="str">
        <f>INDEX('PS List with Markup Factors'!$Z:$Z,MATCH(BF$5,'PS List with Markup Factors'!$C:$C,0))</f>
        <v>On Site</v>
      </c>
      <c r="BG14" s="408" t="str">
        <f>INDEX('PS List with Markup Factors'!$Z:$Z,MATCH(BG$5,'PS List with Markup Factors'!$C:$C,0))</f>
        <v>On Site</v>
      </c>
    </row>
    <row r="15" spans="1:59" ht="30" outlineLevel="1">
      <c r="B15" s="164" t="s">
        <v>237</v>
      </c>
      <c r="C15" s="53" t="s">
        <v>238</v>
      </c>
      <c r="D15">
        <v>16</v>
      </c>
      <c r="E15">
        <v>16</v>
      </c>
      <c r="F15">
        <v>20</v>
      </c>
      <c r="I15" s="53" t="s">
        <v>239</v>
      </c>
      <c r="M15" s="53" t="s">
        <v>240</v>
      </c>
      <c r="N15" s="53" t="s">
        <v>241</v>
      </c>
      <c r="O15" s="410" t="str">
        <f>INDEX('PS List with Markup Factors'!$D:$D,MATCH(O$5,'PS List with Markup Factors'!$C:$C,0))</f>
        <v>Christchurch</v>
      </c>
      <c r="P15" s="410" t="str">
        <f>INDEX('PS List with Markup Factors'!$D:$D,MATCH(P$5,'PS List with Markup Factors'!$C:$C,0))</f>
        <v>Christchurch</v>
      </c>
      <c r="Q15" s="410" t="str">
        <f>INDEX('PS List with Markup Factors'!$D:$D,MATCH(Q$5,'PS List with Markup Factors'!$C:$C,0))</f>
        <v>Christchurch</v>
      </c>
      <c r="R15" s="410" t="str">
        <f>INDEX('PS List with Markup Factors'!$D:$D,MATCH(R$5,'PS List with Markup Factors'!$C:$C,0))</f>
        <v>Christchurch</v>
      </c>
      <c r="S15" s="410" t="str">
        <f>INDEX('PS List with Markup Factors'!$D:$D,MATCH(S$5,'PS List with Markup Factors'!$C:$C,0))</f>
        <v>Christchurch</v>
      </c>
      <c r="T15" s="410" t="str">
        <f>INDEX('PS List with Markup Factors'!$D:$D,MATCH(T$5,'PS List with Markup Factors'!$C:$C,0))</f>
        <v>Christchurch</v>
      </c>
      <c r="U15" s="410" t="str">
        <f>INDEX('PS List with Markup Factors'!$D:$D,MATCH(U$5,'PS List with Markup Factors'!$C:$C,0))</f>
        <v>Christchurch</v>
      </c>
      <c r="V15" s="410" t="str">
        <f>INDEX('PS List with Markup Factors'!$D:$D,MATCH(V$5,'PS List with Markup Factors'!$C:$C,0))</f>
        <v>Christchurch</v>
      </c>
      <c r="W15" s="410" t="str">
        <f>INDEX('PS List with Markup Factors'!$D:$D,MATCH(W$5,'PS List with Markup Factors'!$C:$C,0))</f>
        <v>Christchurch</v>
      </c>
      <c r="X15" s="410" t="str">
        <f>INDEX('PS List with Markup Factors'!$D:$D,MATCH(X$5,'PS List with Markup Factors'!$C:$C,0))</f>
        <v>Christchurch</v>
      </c>
      <c r="Y15" s="410" t="str">
        <f>INDEX('PS List with Markup Factors'!$D:$D,MATCH(Y$5,'PS List with Markup Factors'!$C:$C,0))</f>
        <v>Christchurch</v>
      </c>
      <c r="Z15" s="410" t="str">
        <f>INDEX('PS List with Markup Factors'!$D:$D,MATCH(Z$5,'PS List with Markup Factors'!$C:$C,0))</f>
        <v>Christchurch</v>
      </c>
      <c r="AA15" s="410" t="str">
        <f>INDEX('PS List with Markup Factors'!$D:$D,MATCH(AA$5,'PS List with Markup Factors'!$C:$C,0))</f>
        <v>Christchurch</v>
      </c>
      <c r="AB15" s="410" t="str">
        <f>INDEX('PS List with Markup Factors'!$D:$D,MATCH(AB$5,'PS List with Markup Factors'!$C:$C,0))</f>
        <v>Christchurch</v>
      </c>
      <c r="AC15" s="410" t="str">
        <f>INDEX('PS List with Markup Factors'!$D:$D,MATCH(AC$5,'PS List with Markup Factors'!$C:$C,0))</f>
        <v>Christchurch</v>
      </c>
      <c r="AD15" s="410" t="str">
        <f>INDEX('PS List with Markup Factors'!$D:$D,MATCH(AD$5,'PS List with Markup Factors'!$C:$C,0))</f>
        <v>Christchurch</v>
      </c>
      <c r="AE15" s="410" t="str">
        <f>INDEX('PS List with Markup Factors'!$D:$D,MATCH(AE$5,'PS List with Markup Factors'!$C:$C,0))</f>
        <v>Christchurch</v>
      </c>
      <c r="AF15" s="410" t="str">
        <f>INDEX('PS List with Markup Factors'!$D:$D,MATCH(AF$5,'PS List with Markup Factors'!$C:$C,0))</f>
        <v>Christchurch</v>
      </c>
      <c r="AG15" s="410" t="str">
        <f>INDEX('PS List with Markup Factors'!$D:$D,MATCH(AG$5,'PS List with Markup Factors'!$C:$C,0))</f>
        <v>Christchurch</v>
      </c>
      <c r="AH15" s="410" t="str">
        <f>INDEX('PS List with Markup Factors'!$D:$D,MATCH(AH$5,'PS List with Markup Factors'!$C:$C,0))</f>
        <v>Christchurch</v>
      </c>
      <c r="AI15" s="410" t="str">
        <f>INDEX('PS List with Markup Factors'!$D:$D,MATCH(AI$5,'PS List with Markup Factors'!$C:$C,0))</f>
        <v>Christchurch</v>
      </c>
      <c r="AJ15" s="410" t="str">
        <f>INDEX('PS List with Markup Factors'!$D:$D,MATCH(AJ$5,'PS List with Markup Factors'!$C:$C,0))</f>
        <v>Christchurch</v>
      </c>
      <c r="AK15" s="410" t="str">
        <f>INDEX('PS List with Markup Factors'!$D:$D,MATCH(AK$5,'PS List with Markup Factors'!$C:$C,0))</f>
        <v>Christchurch</v>
      </c>
      <c r="AL15" s="410" t="str">
        <f>INDEX('PS List with Markup Factors'!$D:$D,MATCH(AL$5,'PS List with Markup Factors'!$C:$C,0))</f>
        <v>Christchurch</v>
      </c>
      <c r="AM15" s="410" t="str">
        <f>INDEX('PS List with Markup Factors'!$D:$D,MATCH(AM$5,'PS List with Markup Factors'!$C:$C,0))</f>
        <v>Christchurch</v>
      </c>
      <c r="AN15" s="410" t="str">
        <f>INDEX('PS List with Markup Factors'!$D:$D,MATCH(AN$5,'PS List with Markup Factors'!$C:$C,0))</f>
        <v>Christchurch</v>
      </c>
      <c r="AO15" s="410" t="str">
        <f>INDEX('PS List with Markup Factors'!$D:$D,MATCH(AO$5,'PS List with Markup Factors'!$C:$C,0))</f>
        <v>Christchurch</v>
      </c>
      <c r="AP15" s="410" t="str">
        <f>INDEX('PS List with Markup Factors'!$D:$D,MATCH(AP$5,'PS List with Markup Factors'!$C:$C,0))</f>
        <v>Christchurch</v>
      </c>
      <c r="AQ15" s="410" t="str">
        <f>INDEX('PS List with Markup Factors'!$D:$D,MATCH(AQ$5,'PS List with Markup Factors'!$C:$C,0))</f>
        <v>Christchurch</v>
      </c>
      <c r="AR15" s="410" t="str">
        <f>INDEX('PS List with Markup Factors'!$D:$D,MATCH(AR$5,'PS List with Markup Factors'!$C:$C,0))</f>
        <v>Christchurch</v>
      </c>
      <c r="AS15" s="410" t="str">
        <f>INDEX('PS List with Markup Factors'!$D:$D,MATCH(AS$5,'PS List with Markup Factors'!$C:$C,0))</f>
        <v>Christchurch</v>
      </c>
      <c r="AT15" s="410" t="str">
        <f>INDEX('PS List with Markup Factors'!$D:$D,MATCH(AT$5,'PS List with Markup Factors'!$C:$C,0))</f>
        <v>Christchurch</v>
      </c>
      <c r="AU15" s="410" t="str">
        <f>INDEX('PS List with Markup Factors'!$D:$D,MATCH(AU$5,'PS List with Markup Factors'!$C:$C,0))</f>
        <v>Christchurch</v>
      </c>
      <c r="AV15" s="410" t="str">
        <f>INDEX('PS List with Markup Factors'!$D:$D,MATCH(AV$5,'PS List with Markup Factors'!$C:$C,0))</f>
        <v>Christchurch</v>
      </c>
      <c r="AW15" s="410" t="str">
        <f>INDEX('PS List with Markup Factors'!$D:$D,MATCH(AW$5,'PS List with Markup Factors'!$C:$C,0))</f>
        <v>Christchurch</v>
      </c>
      <c r="AX15" s="410" t="str">
        <f>INDEX('PS List with Markup Factors'!$D:$D,MATCH(AX$5,'PS List with Markup Factors'!$C:$C,0))</f>
        <v>Christchurch</v>
      </c>
      <c r="AY15" s="410" t="str">
        <f>INDEX('PS List with Markup Factors'!$D:$D,MATCH(AY$5,'PS List with Markup Factors'!$C:$C,0))</f>
        <v>Christchurch</v>
      </c>
      <c r="AZ15" s="410" t="str">
        <f>INDEX('PS List with Markup Factors'!$D:$D,MATCH(AZ$5,'PS List with Markup Factors'!$C:$C,0))</f>
        <v>Christchurch</v>
      </c>
      <c r="BA15" s="410" t="str">
        <f>INDEX('PS List with Markup Factors'!$D:$D,MATCH(BA$5,'PS List with Markup Factors'!$C:$C,0))</f>
        <v>Christchurch</v>
      </c>
      <c r="BB15" s="410" t="str">
        <f>INDEX('PS List with Markup Factors'!$D:$D,MATCH(BB$5,'PS List with Markup Factors'!$C:$C,0))</f>
        <v>Christchurch</v>
      </c>
      <c r="BC15" s="410" t="str">
        <f>INDEX('PS List with Markup Factors'!$D:$D,MATCH(BC$5,'PS List with Markup Factors'!$C:$C,0))</f>
        <v>Christchurch</v>
      </c>
      <c r="BD15" s="410" t="str">
        <f>INDEX('PS List with Markup Factors'!$D:$D,MATCH(BD$5,'PS List with Markup Factors'!$C:$C,0))</f>
        <v>Christchurch</v>
      </c>
      <c r="BE15" s="410" t="str">
        <f>INDEX('PS List with Markup Factors'!$D:$D,MATCH(BE$5,'PS List with Markup Factors'!$C:$C,0))</f>
        <v>Brooklands / Kainga</v>
      </c>
      <c r="BF15" s="410" t="str">
        <f>INDEX('PS List with Markup Factors'!$D:$D,MATCH(BF$5,'PS List with Markup Factors'!$C:$C,0))</f>
        <v>Brooklands / Kainga</v>
      </c>
      <c r="BG15" s="410" t="str">
        <f>INDEX('PS List with Markup Factors'!$D:$D,MATCH(BG$5,'PS List with Markup Factors'!$C:$C,0))</f>
        <v>Akaroa</v>
      </c>
    </row>
    <row r="16" spans="1:59" outlineLevel="1">
      <c r="B16" s="164" t="s">
        <v>242</v>
      </c>
      <c r="C16" s="53" t="s">
        <v>243</v>
      </c>
      <c r="D16">
        <v>0.04</v>
      </c>
      <c r="E16">
        <v>0.08</v>
      </c>
      <c r="F16">
        <v>0.17</v>
      </c>
      <c r="I16" s="53" t="s">
        <v>244</v>
      </c>
    </row>
    <row r="17" spans="1:60" outlineLevel="1">
      <c r="B17" s="164"/>
      <c r="C17" s="53" t="s">
        <v>245</v>
      </c>
      <c r="D17" s="180">
        <f t="shared" ref="D17:E17" si="3">D16*60*60</f>
        <v>144</v>
      </c>
      <c r="E17" s="180">
        <f t="shared" si="3"/>
        <v>288</v>
      </c>
      <c r="F17" s="180">
        <f>F16*60*60</f>
        <v>612.00000000000011</v>
      </c>
      <c r="G17" s="180"/>
    </row>
    <row r="18" spans="1:60" outlineLevel="1">
      <c r="B18" s="164" t="s">
        <v>246</v>
      </c>
      <c r="D18" s="180">
        <v>11</v>
      </c>
      <c r="E18" s="180">
        <v>26</v>
      </c>
      <c r="F18" s="180">
        <v>8</v>
      </c>
      <c r="G18" s="180"/>
      <c r="H18" s="181"/>
    </row>
    <row r="19" spans="1:60" outlineLevel="1">
      <c r="D19" s="180"/>
      <c r="E19" s="180"/>
      <c r="H19" s="181"/>
    </row>
    <row r="20" spans="1:60" outlineLevel="1">
      <c r="B20" s="178" t="s">
        <v>247</v>
      </c>
      <c r="C20" s="178" t="s">
        <v>248</v>
      </c>
      <c r="D20" s="178" t="s">
        <v>157</v>
      </c>
      <c r="E20" s="178"/>
      <c r="F20" s="178"/>
      <c r="G20" s="178"/>
      <c r="H20" s="172"/>
      <c r="I20" s="179" t="s">
        <v>159</v>
      </c>
      <c r="J20" s="172"/>
      <c r="K20" s="176"/>
    </row>
    <row r="21" spans="1:60" outlineLevel="1">
      <c r="B21" s="164" t="s">
        <v>249</v>
      </c>
      <c r="C21" s="54">
        <v>125</v>
      </c>
      <c r="D21" s="180" t="s">
        <v>250</v>
      </c>
      <c r="E21" s="180"/>
      <c r="F21" s="180"/>
      <c r="G21" s="180"/>
      <c r="H21" s="181"/>
    </row>
    <row r="22" spans="1:60" outlineLevel="1">
      <c r="B22" s="164" t="s">
        <v>251</v>
      </c>
      <c r="C22">
        <v>0.9</v>
      </c>
      <c r="D22" s="180" t="s">
        <v>252</v>
      </c>
      <c r="E22" s="180"/>
      <c r="F22" s="180"/>
      <c r="G22" s="180"/>
      <c r="H22" s="181"/>
    </row>
    <row r="23" spans="1:60" outlineLevel="1">
      <c r="B23" s="164" t="s">
        <v>253</v>
      </c>
      <c r="C23">
        <f>'Vendor Quotes'!D95</f>
        <v>2.46</v>
      </c>
      <c r="D23" s="180" t="s">
        <v>254</v>
      </c>
      <c r="E23" s="180"/>
      <c r="F23" s="180"/>
      <c r="G23" s="180"/>
      <c r="H23" s="157"/>
      <c r="I23" s="53" t="s">
        <v>255</v>
      </c>
    </row>
    <row r="24" spans="1:60" outlineLevel="1">
      <c r="B24" s="164"/>
      <c r="C24" s="345">
        <f>C23/'Chemical Sizing'!B28</f>
        <v>11.189091091027349</v>
      </c>
      <c r="D24" s="180" t="s">
        <v>256</v>
      </c>
      <c r="E24" s="180"/>
      <c r="F24" s="180"/>
      <c r="G24" s="180"/>
      <c r="H24" s="157"/>
    </row>
    <row r="25" spans="1:60" ht="30" outlineLevel="1">
      <c r="B25" s="164" t="s">
        <v>257</v>
      </c>
      <c r="C25">
        <v>100</v>
      </c>
      <c r="D25" s="346" t="s">
        <v>258</v>
      </c>
      <c r="E25" s="346"/>
      <c r="F25" s="346"/>
      <c r="G25" s="346"/>
      <c r="H25" s="202"/>
      <c r="I25" s="53" t="s">
        <v>259</v>
      </c>
    </row>
    <row r="26" spans="1:60" outlineLevel="1">
      <c r="B26" s="164" t="s">
        <v>260</v>
      </c>
      <c r="C26" s="150">
        <f>'Chemical Sizing'!B28</f>
        <v>0.21985700000000002</v>
      </c>
      <c r="D26" s="180" t="s">
        <v>261</v>
      </c>
      <c r="E26" s="180"/>
      <c r="F26" s="180"/>
      <c r="G26" s="180"/>
      <c r="H26" s="157"/>
    </row>
    <row r="27" spans="1:60" outlineLevel="1">
      <c r="D27" s="180"/>
      <c r="E27" s="180"/>
      <c r="F27" s="180"/>
      <c r="G27" s="180"/>
      <c r="H27" s="157"/>
    </row>
    <row r="28" spans="1:60" collapsed="1">
      <c r="B28" t="s">
        <v>262</v>
      </c>
    </row>
    <row r="31" spans="1:60" ht="18.75">
      <c r="A31" s="223" t="s">
        <v>263</v>
      </c>
    </row>
    <row r="32" spans="1:60" s="53" customFormat="1" ht="30">
      <c r="B32" s="179" t="s">
        <v>86</v>
      </c>
      <c r="C32" s="179" t="s">
        <v>264</v>
      </c>
      <c r="D32" s="179" t="s">
        <v>265</v>
      </c>
      <c r="E32" s="179" t="s">
        <v>266</v>
      </c>
      <c r="F32" s="179" t="s">
        <v>267</v>
      </c>
      <c r="G32" s="179" t="s">
        <v>268</v>
      </c>
      <c r="H32" s="179" t="s">
        <v>269</v>
      </c>
      <c r="I32" s="179" t="s">
        <v>159</v>
      </c>
      <c r="J32" s="179" t="s">
        <v>270</v>
      </c>
      <c r="K32" s="179" t="s">
        <v>271</v>
      </c>
      <c r="L32" s="156"/>
      <c r="M32" s="179" t="str">
        <f>B32</f>
        <v>Item</v>
      </c>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411" t="s">
        <v>272</v>
      </c>
    </row>
    <row r="33" spans="2:60" collapsed="1">
      <c r="B33" s="56" t="s">
        <v>273</v>
      </c>
      <c r="C33" s="56"/>
      <c r="M33" s="156"/>
      <c r="N33" s="56"/>
      <c r="BH33" s="412"/>
    </row>
    <row r="34" spans="2:60" hidden="1" outlineLevel="1">
      <c r="B34" s="164" t="s">
        <v>274</v>
      </c>
      <c r="D34" s="55">
        <f>INDEX('Vendor Quotes'!$D$44:$G$44,MATCH(D9,'Vendor Quotes'!$D$43:$G$43,0))</f>
        <v>7500</v>
      </c>
      <c r="E34" s="55">
        <f>INDEX('Vendor Quotes'!$D$44:$G$44,MATCH(E9,'Vendor Quotes'!$D$43:$G$43,0))</f>
        <v>7500</v>
      </c>
      <c r="F34" s="55">
        <f>INDEX('Vendor Quotes'!$D$44:$G$44,MATCH(F9,'Vendor Quotes'!$D$43:$G$43,0))</f>
        <v>10000</v>
      </c>
      <c r="G34" s="55"/>
      <c r="H34" s="157" t="s">
        <v>275</v>
      </c>
      <c r="I34" s="53" t="s">
        <v>276</v>
      </c>
      <c r="K34" s="53" t="str">
        <f>B185</f>
        <v xml:space="preserve">Appurtenances of the system (e.g. piping, tanks) </v>
      </c>
      <c r="M34" s="218" t="str">
        <f t="shared" ref="M34:M54" si="4">B34</f>
        <v>Bulk Tank</v>
      </c>
      <c r="N34" s="164"/>
      <c r="O34" s="55">
        <f t="shared" ref="O34:X43" si="5">INDEX($D34:$F34,MATCH(O$8,$D$5:$F$5,0))</f>
        <v>7500</v>
      </c>
      <c r="P34" s="55">
        <f t="shared" si="5"/>
        <v>7500</v>
      </c>
      <c r="Q34" s="55">
        <f t="shared" si="5"/>
        <v>7500</v>
      </c>
      <c r="R34" s="55">
        <f t="shared" si="5"/>
        <v>10000</v>
      </c>
      <c r="S34" s="55">
        <f t="shared" si="5"/>
        <v>7500</v>
      </c>
      <c r="T34" s="55">
        <f t="shared" si="5"/>
        <v>10000</v>
      </c>
      <c r="U34" s="55">
        <f t="shared" si="5"/>
        <v>7500</v>
      </c>
      <c r="V34" s="55">
        <f t="shared" si="5"/>
        <v>7500</v>
      </c>
      <c r="W34" s="55">
        <f t="shared" si="5"/>
        <v>7500</v>
      </c>
      <c r="X34" s="55">
        <f t="shared" si="5"/>
        <v>7500</v>
      </c>
      <c r="Y34" s="55">
        <f t="shared" ref="Y34:AH43" si="6">INDEX($D34:$F34,MATCH(Y$8,$D$5:$F$5,0))</f>
        <v>7500</v>
      </c>
      <c r="Z34" s="55">
        <f t="shared" si="6"/>
        <v>7500</v>
      </c>
      <c r="AA34" s="55">
        <f t="shared" si="6"/>
        <v>7500</v>
      </c>
      <c r="AB34" s="55">
        <f t="shared" si="6"/>
        <v>7500</v>
      </c>
      <c r="AC34" s="55">
        <f t="shared" si="6"/>
        <v>7500</v>
      </c>
      <c r="AD34" s="55">
        <f t="shared" si="6"/>
        <v>7500</v>
      </c>
      <c r="AE34" s="55">
        <f t="shared" si="6"/>
        <v>7500</v>
      </c>
      <c r="AF34" s="55">
        <f t="shared" si="6"/>
        <v>10000</v>
      </c>
      <c r="AG34" s="55">
        <f t="shared" si="6"/>
        <v>10000</v>
      </c>
      <c r="AH34" s="55">
        <f t="shared" si="6"/>
        <v>7500</v>
      </c>
      <c r="AI34" s="55">
        <f t="shared" ref="AI34:AR43" si="7">INDEX($D34:$F34,MATCH(AI$8,$D$5:$F$5,0))</f>
        <v>10000</v>
      </c>
      <c r="AJ34" s="55">
        <f t="shared" si="7"/>
        <v>10000</v>
      </c>
      <c r="AK34" s="55">
        <f t="shared" si="7"/>
        <v>7500</v>
      </c>
      <c r="AL34" s="55">
        <f t="shared" si="7"/>
        <v>7500</v>
      </c>
      <c r="AM34" s="55">
        <f t="shared" si="7"/>
        <v>7500</v>
      </c>
      <c r="AN34" s="55">
        <f t="shared" si="7"/>
        <v>7500</v>
      </c>
      <c r="AO34" s="55">
        <f t="shared" si="7"/>
        <v>7500</v>
      </c>
      <c r="AP34" s="55">
        <f t="shared" si="7"/>
        <v>7500</v>
      </c>
      <c r="AQ34" s="55">
        <f t="shared" si="7"/>
        <v>7500</v>
      </c>
      <c r="AR34" s="55">
        <f t="shared" si="7"/>
        <v>7500</v>
      </c>
      <c r="AS34" s="55">
        <f t="shared" ref="AS34:BG43" si="8">INDEX($D34:$F34,MATCH(AS$8,$D$5:$F$5,0))</f>
        <v>7500</v>
      </c>
      <c r="AT34" s="55">
        <f t="shared" si="8"/>
        <v>7500</v>
      </c>
      <c r="AU34" s="55">
        <f t="shared" si="8"/>
        <v>7500</v>
      </c>
      <c r="AV34" s="55">
        <f t="shared" si="8"/>
        <v>7500</v>
      </c>
      <c r="AW34" s="55">
        <f t="shared" si="8"/>
        <v>7500</v>
      </c>
      <c r="AX34" s="55">
        <f t="shared" si="8"/>
        <v>7500</v>
      </c>
      <c r="AY34" s="55">
        <f t="shared" si="8"/>
        <v>7500</v>
      </c>
      <c r="AZ34" s="55">
        <f t="shared" si="8"/>
        <v>10000</v>
      </c>
      <c r="BA34" s="55">
        <f t="shared" si="8"/>
        <v>7500</v>
      </c>
      <c r="BB34" s="55">
        <f t="shared" si="8"/>
        <v>7500</v>
      </c>
      <c r="BC34" s="55">
        <f t="shared" si="8"/>
        <v>7500</v>
      </c>
      <c r="BD34" s="55">
        <f t="shared" si="8"/>
        <v>10000</v>
      </c>
      <c r="BE34" s="55">
        <f t="shared" si="8"/>
        <v>7500</v>
      </c>
      <c r="BF34" s="55">
        <f t="shared" si="8"/>
        <v>7500</v>
      </c>
      <c r="BG34" s="55">
        <f t="shared" si="8"/>
        <v>7500</v>
      </c>
      <c r="BH34" s="413">
        <f t="shared" ref="BH34:BH97" si="9">SUM(O34:BG34)</f>
        <v>357500</v>
      </c>
    </row>
    <row r="35" spans="2:60" hidden="1" outlineLevel="1">
      <c r="B35" s="164" t="s">
        <v>277</v>
      </c>
      <c r="D35" s="55">
        <f>INDEX('Vendor Quotes'!$D$46:$G$46,MATCH(D11,'Vendor Quotes'!$D$45:$G$45,0))</f>
        <v>3000</v>
      </c>
      <c r="E35" s="55">
        <f>INDEX('Vendor Quotes'!$D$46:$G$46,MATCH(E11,'Vendor Quotes'!$D$45:$G$45,0))</f>
        <v>5000</v>
      </c>
      <c r="F35" s="55">
        <f>INDEX('Vendor Quotes'!$D$46:$G$46,MATCH(F11,'Vendor Quotes'!$D$45:$G$45,0))</f>
        <v>8000</v>
      </c>
      <c r="G35" s="55"/>
      <c r="H35" s="157" t="s">
        <v>275</v>
      </c>
      <c r="I35" s="53" t="s">
        <v>276</v>
      </c>
      <c r="K35" s="53" t="str">
        <f>B185</f>
        <v xml:space="preserve">Appurtenances of the system (e.g. piping, tanks) </v>
      </c>
      <c r="M35" s="218" t="str">
        <f t="shared" si="4"/>
        <v xml:space="preserve">Day Tank </v>
      </c>
      <c r="N35" s="164"/>
      <c r="O35" s="55">
        <f t="shared" si="5"/>
        <v>5000</v>
      </c>
      <c r="P35" s="55">
        <f t="shared" si="5"/>
        <v>5000</v>
      </c>
      <c r="Q35" s="55">
        <f t="shared" si="5"/>
        <v>5000</v>
      </c>
      <c r="R35" s="55">
        <f t="shared" si="5"/>
        <v>8000</v>
      </c>
      <c r="S35" s="55">
        <f t="shared" si="5"/>
        <v>5000</v>
      </c>
      <c r="T35" s="55">
        <f t="shared" si="5"/>
        <v>8000</v>
      </c>
      <c r="U35" s="55">
        <f t="shared" si="5"/>
        <v>5000</v>
      </c>
      <c r="V35" s="55">
        <f t="shared" si="5"/>
        <v>5000</v>
      </c>
      <c r="W35" s="55">
        <f t="shared" si="5"/>
        <v>5000</v>
      </c>
      <c r="X35" s="55">
        <f t="shared" si="5"/>
        <v>5000</v>
      </c>
      <c r="Y35" s="55">
        <f t="shared" si="6"/>
        <v>5000</v>
      </c>
      <c r="Z35" s="55">
        <f t="shared" si="6"/>
        <v>3000</v>
      </c>
      <c r="AA35" s="55">
        <f t="shared" si="6"/>
        <v>5000</v>
      </c>
      <c r="AB35" s="55">
        <f t="shared" si="6"/>
        <v>5000</v>
      </c>
      <c r="AC35" s="55">
        <f t="shared" si="6"/>
        <v>5000</v>
      </c>
      <c r="AD35" s="55">
        <f t="shared" si="6"/>
        <v>5000</v>
      </c>
      <c r="AE35" s="55">
        <f t="shared" si="6"/>
        <v>3000</v>
      </c>
      <c r="AF35" s="55">
        <f t="shared" si="6"/>
        <v>8000</v>
      </c>
      <c r="AG35" s="55">
        <f t="shared" si="6"/>
        <v>8000</v>
      </c>
      <c r="AH35" s="55">
        <f t="shared" si="6"/>
        <v>5000</v>
      </c>
      <c r="AI35" s="55">
        <f t="shared" si="7"/>
        <v>8000</v>
      </c>
      <c r="AJ35" s="55">
        <f t="shared" si="7"/>
        <v>8000</v>
      </c>
      <c r="AK35" s="55">
        <f t="shared" si="7"/>
        <v>3000</v>
      </c>
      <c r="AL35" s="55">
        <f t="shared" si="7"/>
        <v>3000</v>
      </c>
      <c r="AM35" s="55">
        <f t="shared" si="7"/>
        <v>3000</v>
      </c>
      <c r="AN35" s="55">
        <f t="shared" si="7"/>
        <v>5000</v>
      </c>
      <c r="AO35" s="55">
        <f t="shared" si="7"/>
        <v>3000</v>
      </c>
      <c r="AP35" s="55">
        <f t="shared" si="7"/>
        <v>5000</v>
      </c>
      <c r="AQ35" s="55">
        <f t="shared" si="7"/>
        <v>5000</v>
      </c>
      <c r="AR35" s="55">
        <f t="shared" si="7"/>
        <v>5000</v>
      </c>
      <c r="AS35" s="55">
        <f t="shared" si="8"/>
        <v>5000</v>
      </c>
      <c r="AT35" s="55">
        <f t="shared" si="8"/>
        <v>5000</v>
      </c>
      <c r="AU35" s="55">
        <f t="shared" si="8"/>
        <v>5000</v>
      </c>
      <c r="AV35" s="55">
        <f t="shared" si="8"/>
        <v>5000</v>
      </c>
      <c r="AW35" s="55">
        <f t="shared" si="8"/>
        <v>3000</v>
      </c>
      <c r="AX35" s="55">
        <f t="shared" si="8"/>
        <v>5000</v>
      </c>
      <c r="AY35" s="55">
        <f t="shared" si="8"/>
        <v>3000</v>
      </c>
      <c r="AZ35" s="55">
        <f t="shared" si="8"/>
        <v>8000</v>
      </c>
      <c r="BA35" s="55">
        <f t="shared" si="8"/>
        <v>5000</v>
      </c>
      <c r="BB35" s="55">
        <f t="shared" si="8"/>
        <v>5000</v>
      </c>
      <c r="BC35" s="55">
        <f t="shared" si="8"/>
        <v>5000</v>
      </c>
      <c r="BD35" s="55">
        <f t="shared" si="8"/>
        <v>8000</v>
      </c>
      <c r="BE35" s="55">
        <f t="shared" si="8"/>
        <v>3000</v>
      </c>
      <c r="BF35" s="55">
        <f t="shared" si="8"/>
        <v>3000</v>
      </c>
      <c r="BG35" s="55">
        <f t="shared" si="8"/>
        <v>3000</v>
      </c>
      <c r="BH35" s="413">
        <f t="shared" si="9"/>
        <v>227000</v>
      </c>
    </row>
    <row r="36" spans="2:60" ht="30" hidden="1" outlineLevel="1">
      <c r="B36" s="164" t="s">
        <v>278</v>
      </c>
      <c r="D36" s="55">
        <f>ROUNDUP(1.5*(('Vendor Quotes'!E48-'Vendor Quotes'!D48)/('Vendor Quotes'!E35-'Vendor Quotes'!D35)*(D6-'Vendor Quotes'!D35)+'Vendor Quotes'!D48),-3)</f>
        <v>26000</v>
      </c>
      <c r="E36" s="55">
        <f>ROUNDUP(1.5*(('Vendor Quotes'!F48-'Vendor Quotes'!E48)/('Vendor Quotes'!F35-'Vendor Quotes'!E35)*(E6-'Vendor Quotes'!E35)+'Vendor Quotes'!E48),-3)</f>
        <v>43000</v>
      </c>
      <c r="F36" s="55">
        <f>ROUNDUP(1.5*(('Vendor Quotes'!G48-'Vendor Quotes'!F48)/('Vendor Quotes'!G35-'Vendor Quotes'!F35)*(F6-'Vendor Quotes'!F35)+'Vendor Quotes'!F48),-3)</f>
        <v>68000</v>
      </c>
      <c r="G36" s="55"/>
      <c r="H36" s="157" t="s">
        <v>279</v>
      </c>
      <c r="K36" s="53" t="str">
        <f>B184</f>
        <v xml:space="preserve">Liquid chemical system </v>
      </c>
      <c r="M36" s="218" t="str">
        <f t="shared" si="4"/>
        <v>Dosing skid including pumps</v>
      </c>
      <c r="N36" s="164"/>
      <c r="O36" s="55">
        <f t="shared" si="5"/>
        <v>43000</v>
      </c>
      <c r="P36" s="55">
        <f t="shared" si="5"/>
        <v>43000</v>
      </c>
      <c r="Q36" s="55">
        <f t="shared" si="5"/>
        <v>43000</v>
      </c>
      <c r="R36" s="55">
        <f t="shared" si="5"/>
        <v>68000</v>
      </c>
      <c r="S36" s="55">
        <f t="shared" si="5"/>
        <v>43000</v>
      </c>
      <c r="T36" s="55">
        <f t="shared" si="5"/>
        <v>68000</v>
      </c>
      <c r="U36" s="55">
        <f t="shared" si="5"/>
        <v>43000</v>
      </c>
      <c r="V36" s="55">
        <f t="shared" si="5"/>
        <v>43000</v>
      </c>
      <c r="W36" s="55">
        <f t="shared" si="5"/>
        <v>43000</v>
      </c>
      <c r="X36" s="55">
        <f t="shared" si="5"/>
        <v>43000</v>
      </c>
      <c r="Y36" s="55">
        <f t="shared" si="6"/>
        <v>43000</v>
      </c>
      <c r="Z36" s="55">
        <f t="shared" si="6"/>
        <v>26000</v>
      </c>
      <c r="AA36" s="55">
        <f t="shared" si="6"/>
        <v>43000</v>
      </c>
      <c r="AB36" s="55">
        <f t="shared" si="6"/>
        <v>43000</v>
      </c>
      <c r="AC36" s="55">
        <f t="shared" si="6"/>
        <v>43000</v>
      </c>
      <c r="AD36" s="55">
        <f t="shared" si="6"/>
        <v>43000</v>
      </c>
      <c r="AE36" s="55">
        <f t="shared" si="6"/>
        <v>26000</v>
      </c>
      <c r="AF36" s="55">
        <f t="shared" si="6"/>
        <v>68000</v>
      </c>
      <c r="AG36" s="55">
        <f t="shared" si="6"/>
        <v>68000</v>
      </c>
      <c r="AH36" s="55">
        <f t="shared" si="6"/>
        <v>43000</v>
      </c>
      <c r="AI36" s="55">
        <f t="shared" si="7"/>
        <v>68000</v>
      </c>
      <c r="AJ36" s="55">
        <f t="shared" si="7"/>
        <v>68000</v>
      </c>
      <c r="AK36" s="55">
        <f t="shared" si="7"/>
        <v>26000</v>
      </c>
      <c r="AL36" s="55">
        <f t="shared" si="7"/>
        <v>26000</v>
      </c>
      <c r="AM36" s="55">
        <f t="shared" si="7"/>
        <v>26000</v>
      </c>
      <c r="AN36" s="55">
        <f t="shared" si="7"/>
        <v>43000</v>
      </c>
      <c r="AO36" s="55">
        <f t="shared" si="7"/>
        <v>26000</v>
      </c>
      <c r="AP36" s="55">
        <f t="shared" si="7"/>
        <v>43000</v>
      </c>
      <c r="AQ36" s="55">
        <f t="shared" si="7"/>
        <v>43000</v>
      </c>
      <c r="AR36" s="55">
        <f t="shared" si="7"/>
        <v>43000</v>
      </c>
      <c r="AS36" s="55">
        <f t="shared" si="8"/>
        <v>43000</v>
      </c>
      <c r="AT36" s="55">
        <f t="shared" si="8"/>
        <v>43000</v>
      </c>
      <c r="AU36" s="55">
        <f t="shared" si="8"/>
        <v>43000</v>
      </c>
      <c r="AV36" s="55">
        <f t="shared" si="8"/>
        <v>43000</v>
      </c>
      <c r="AW36" s="55">
        <f t="shared" si="8"/>
        <v>26000</v>
      </c>
      <c r="AX36" s="55">
        <f t="shared" si="8"/>
        <v>43000</v>
      </c>
      <c r="AY36" s="55">
        <f t="shared" si="8"/>
        <v>26000</v>
      </c>
      <c r="AZ36" s="55">
        <f t="shared" si="8"/>
        <v>68000</v>
      </c>
      <c r="BA36" s="55">
        <f t="shared" si="8"/>
        <v>43000</v>
      </c>
      <c r="BB36" s="55">
        <f t="shared" si="8"/>
        <v>43000</v>
      </c>
      <c r="BC36" s="55">
        <f t="shared" si="8"/>
        <v>43000</v>
      </c>
      <c r="BD36" s="55">
        <f t="shared" si="8"/>
        <v>68000</v>
      </c>
      <c r="BE36" s="55">
        <f t="shared" si="8"/>
        <v>26000</v>
      </c>
      <c r="BF36" s="55">
        <f t="shared" si="8"/>
        <v>26000</v>
      </c>
      <c r="BG36" s="55">
        <f t="shared" si="8"/>
        <v>26000</v>
      </c>
      <c r="BH36" s="413">
        <f t="shared" si="9"/>
        <v>1948000</v>
      </c>
    </row>
    <row r="37" spans="2:60" hidden="1" outlineLevel="1">
      <c r="B37" s="164" t="s">
        <v>280</v>
      </c>
      <c r="C37" s="78"/>
      <c r="D37" s="55">
        <f>'Vendor Quotes'!E47</f>
        <v>7500</v>
      </c>
      <c r="E37" s="55">
        <f>'Vendor Quotes'!E47</f>
        <v>7500</v>
      </c>
      <c r="F37" s="55">
        <f>'Vendor Quotes'!G47</f>
        <v>12500</v>
      </c>
      <c r="G37" s="55"/>
      <c r="H37" s="157" t="s">
        <v>275</v>
      </c>
      <c r="K37" s="53" t="str">
        <f>B185</f>
        <v xml:space="preserve">Appurtenances of the system (e.g. piping, tanks) </v>
      </c>
      <c r="M37" s="218" t="str">
        <f t="shared" si="4"/>
        <v>Transfer pump</v>
      </c>
      <c r="N37" s="164"/>
      <c r="O37" s="55">
        <f t="shared" si="5"/>
        <v>7500</v>
      </c>
      <c r="P37" s="55">
        <f t="shared" si="5"/>
        <v>7500</v>
      </c>
      <c r="Q37" s="55">
        <f t="shared" si="5"/>
        <v>7500</v>
      </c>
      <c r="R37" s="55">
        <f t="shared" si="5"/>
        <v>12500</v>
      </c>
      <c r="S37" s="55">
        <f t="shared" si="5"/>
        <v>7500</v>
      </c>
      <c r="T37" s="55">
        <f t="shared" si="5"/>
        <v>12500</v>
      </c>
      <c r="U37" s="55">
        <f t="shared" si="5"/>
        <v>7500</v>
      </c>
      <c r="V37" s="55">
        <f t="shared" si="5"/>
        <v>7500</v>
      </c>
      <c r="W37" s="55">
        <f t="shared" si="5"/>
        <v>7500</v>
      </c>
      <c r="X37" s="55">
        <f t="shared" si="5"/>
        <v>7500</v>
      </c>
      <c r="Y37" s="55">
        <f t="shared" si="6"/>
        <v>7500</v>
      </c>
      <c r="Z37" s="55">
        <f t="shared" si="6"/>
        <v>7500</v>
      </c>
      <c r="AA37" s="55">
        <f t="shared" si="6"/>
        <v>7500</v>
      </c>
      <c r="AB37" s="55">
        <f t="shared" si="6"/>
        <v>7500</v>
      </c>
      <c r="AC37" s="55">
        <f t="shared" si="6"/>
        <v>7500</v>
      </c>
      <c r="AD37" s="55">
        <f t="shared" si="6"/>
        <v>7500</v>
      </c>
      <c r="AE37" s="55">
        <f t="shared" si="6"/>
        <v>7500</v>
      </c>
      <c r="AF37" s="55">
        <f t="shared" si="6"/>
        <v>12500</v>
      </c>
      <c r="AG37" s="55">
        <f t="shared" si="6"/>
        <v>12500</v>
      </c>
      <c r="AH37" s="55">
        <f t="shared" si="6"/>
        <v>7500</v>
      </c>
      <c r="AI37" s="55">
        <f t="shared" si="7"/>
        <v>12500</v>
      </c>
      <c r="AJ37" s="55">
        <f t="shared" si="7"/>
        <v>12500</v>
      </c>
      <c r="AK37" s="55">
        <f t="shared" si="7"/>
        <v>7500</v>
      </c>
      <c r="AL37" s="55">
        <f t="shared" si="7"/>
        <v>7500</v>
      </c>
      <c r="AM37" s="55">
        <f t="shared" si="7"/>
        <v>7500</v>
      </c>
      <c r="AN37" s="55">
        <f t="shared" si="7"/>
        <v>7500</v>
      </c>
      <c r="AO37" s="55">
        <f t="shared" si="7"/>
        <v>7500</v>
      </c>
      <c r="AP37" s="55">
        <f t="shared" si="7"/>
        <v>7500</v>
      </c>
      <c r="AQ37" s="55">
        <f t="shared" si="7"/>
        <v>7500</v>
      </c>
      <c r="AR37" s="55">
        <f t="shared" si="7"/>
        <v>7500</v>
      </c>
      <c r="AS37" s="55">
        <f t="shared" si="8"/>
        <v>7500</v>
      </c>
      <c r="AT37" s="55">
        <f t="shared" si="8"/>
        <v>7500</v>
      </c>
      <c r="AU37" s="55">
        <f t="shared" si="8"/>
        <v>7500</v>
      </c>
      <c r="AV37" s="55">
        <f t="shared" si="8"/>
        <v>7500</v>
      </c>
      <c r="AW37" s="55">
        <f t="shared" si="8"/>
        <v>7500</v>
      </c>
      <c r="AX37" s="55">
        <f t="shared" si="8"/>
        <v>7500</v>
      </c>
      <c r="AY37" s="55">
        <f t="shared" si="8"/>
        <v>7500</v>
      </c>
      <c r="AZ37" s="55">
        <f t="shared" si="8"/>
        <v>12500</v>
      </c>
      <c r="BA37" s="55">
        <f t="shared" si="8"/>
        <v>7500</v>
      </c>
      <c r="BB37" s="55">
        <f t="shared" si="8"/>
        <v>7500</v>
      </c>
      <c r="BC37" s="55">
        <f t="shared" si="8"/>
        <v>7500</v>
      </c>
      <c r="BD37" s="55">
        <f t="shared" si="8"/>
        <v>12500</v>
      </c>
      <c r="BE37" s="55">
        <f t="shared" si="8"/>
        <v>7500</v>
      </c>
      <c r="BF37" s="55">
        <f t="shared" si="8"/>
        <v>7500</v>
      </c>
      <c r="BG37" s="55">
        <f t="shared" si="8"/>
        <v>7500</v>
      </c>
      <c r="BH37" s="413">
        <f t="shared" si="9"/>
        <v>377500</v>
      </c>
    </row>
    <row r="38" spans="2:60" ht="30" hidden="1" outlineLevel="1">
      <c r="B38" s="164" t="s">
        <v>281</v>
      </c>
      <c r="D38" s="55">
        <v>17500</v>
      </c>
      <c r="E38" s="55">
        <v>17500</v>
      </c>
      <c r="F38" s="55">
        <v>17500</v>
      </c>
      <c r="G38" s="55"/>
      <c r="H38" s="157" t="s">
        <v>282</v>
      </c>
      <c r="K38" s="53" t="str">
        <f>B189</f>
        <v>Analyzers, indicators, analytical instruments and misc. instrumentation</v>
      </c>
      <c r="M38" s="218" t="str">
        <f t="shared" si="4"/>
        <v>Analyser</v>
      </c>
      <c r="N38" s="164"/>
      <c r="O38" s="55">
        <f t="shared" si="5"/>
        <v>17500</v>
      </c>
      <c r="P38" s="55">
        <f t="shared" si="5"/>
        <v>17500</v>
      </c>
      <c r="Q38" s="55">
        <f t="shared" si="5"/>
        <v>17500</v>
      </c>
      <c r="R38" s="55">
        <f t="shared" si="5"/>
        <v>17500</v>
      </c>
      <c r="S38" s="55">
        <f t="shared" si="5"/>
        <v>17500</v>
      </c>
      <c r="T38" s="55">
        <f t="shared" si="5"/>
        <v>17500</v>
      </c>
      <c r="U38" s="55">
        <f t="shared" si="5"/>
        <v>17500</v>
      </c>
      <c r="V38" s="55">
        <f t="shared" si="5"/>
        <v>17500</v>
      </c>
      <c r="W38" s="55">
        <f t="shared" si="5"/>
        <v>17500</v>
      </c>
      <c r="X38" s="55">
        <f t="shared" si="5"/>
        <v>17500</v>
      </c>
      <c r="Y38" s="55">
        <f t="shared" si="6"/>
        <v>17500</v>
      </c>
      <c r="Z38" s="55">
        <f t="shared" si="6"/>
        <v>17500</v>
      </c>
      <c r="AA38" s="55">
        <f t="shared" si="6"/>
        <v>17500</v>
      </c>
      <c r="AB38" s="55">
        <f t="shared" si="6"/>
        <v>17500</v>
      </c>
      <c r="AC38" s="55">
        <f t="shared" si="6"/>
        <v>17500</v>
      </c>
      <c r="AD38" s="55">
        <f t="shared" si="6"/>
        <v>17500</v>
      </c>
      <c r="AE38" s="55">
        <f t="shared" si="6"/>
        <v>17500</v>
      </c>
      <c r="AF38" s="55">
        <f t="shared" si="6"/>
        <v>17500</v>
      </c>
      <c r="AG38" s="55">
        <f t="shared" si="6"/>
        <v>17500</v>
      </c>
      <c r="AH38" s="55">
        <f t="shared" si="6"/>
        <v>17500</v>
      </c>
      <c r="AI38" s="55">
        <f t="shared" si="7"/>
        <v>17500</v>
      </c>
      <c r="AJ38" s="55">
        <f t="shared" si="7"/>
        <v>17500</v>
      </c>
      <c r="AK38" s="55">
        <f t="shared" si="7"/>
        <v>17500</v>
      </c>
      <c r="AL38" s="55">
        <f t="shared" si="7"/>
        <v>17500</v>
      </c>
      <c r="AM38" s="55">
        <f t="shared" si="7"/>
        <v>17500</v>
      </c>
      <c r="AN38" s="55">
        <f t="shared" si="7"/>
        <v>17500</v>
      </c>
      <c r="AO38" s="55">
        <f t="shared" si="7"/>
        <v>17500</v>
      </c>
      <c r="AP38" s="55">
        <f t="shared" si="7"/>
        <v>17500</v>
      </c>
      <c r="AQ38" s="55">
        <f t="shared" si="7"/>
        <v>17500</v>
      </c>
      <c r="AR38" s="55">
        <f t="shared" si="7"/>
        <v>17500</v>
      </c>
      <c r="AS38" s="55">
        <f t="shared" si="8"/>
        <v>17500</v>
      </c>
      <c r="AT38" s="55">
        <f t="shared" si="8"/>
        <v>17500</v>
      </c>
      <c r="AU38" s="55">
        <f t="shared" si="8"/>
        <v>17500</v>
      </c>
      <c r="AV38" s="55">
        <f t="shared" si="8"/>
        <v>17500</v>
      </c>
      <c r="AW38" s="55">
        <f t="shared" si="8"/>
        <v>17500</v>
      </c>
      <c r="AX38" s="55">
        <f t="shared" si="8"/>
        <v>17500</v>
      </c>
      <c r="AY38" s="55">
        <f t="shared" si="8"/>
        <v>17500</v>
      </c>
      <c r="AZ38" s="55">
        <f t="shared" si="8"/>
        <v>17500</v>
      </c>
      <c r="BA38" s="55">
        <f t="shared" si="8"/>
        <v>17500</v>
      </c>
      <c r="BB38" s="55">
        <f t="shared" si="8"/>
        <v>17500</v>
      </c>
      <c r="BC38" s="55">
        <f t="shared" si="8"/>
        <v>17500</v>
      </c>
      <c r="BD38" s="55">
        <f t="shared" si="8"/>
        <v>17500</v>
      </c>
      <c r="BE38" s="55">
        <f t="shared" si="8"/>
        <v>17500</v>
      </c>
      <c r="BF38" s="55">
        <f t="shared" si="8"/>
        <v>17500</v>
      </c>
      <c r="BG38" s="55">
        <f t="shared" si="8"/>
        <v>17500</v>
      </c>
      <c r="BH38" s="413">
        <f t="shared" si="9"/>
        <v>787500</v>
      </c>
    </row>
    <row r="39" spans="2:60" ht="30" hidden="1" outlineLevel="1">
      <c r="B39" s="164" t="s">
        <v>283</v>
      </c>
      <c r="D39" s="55">
        <f>ROUNDUP('Vendor Quotes'!D12*2,-3)</f>
        <v>2000</v>
      </c>
      <c r="E39" s="55">
        <f>D39</f>
        <v>2000</v>
      </c>
      <c r="F39" s="55">
        <f>D39</f>
        <v>2000</v>
      </c>
      <c r="G39" s="55"/>
      <c r="H39" s="157" t="s">
        <v>284</v>
      </c>
      <c r="I39" s="53" t="s">
        <v>285</v>
      </c>
      <c r="K39" s="53" t="str">
        <f>B189</f>
        <v>Analyzers, indicators, analytical instruments and misc. instrumentation</v>
      </c>
      <c r="M39" s="218" t="str">
        <f t="shared" si="4"/>
        <v>Ultrasonic level indicator</v>
      </c>
      <c r="N39" s="164"/>
      <c r="O39" s="55">
        <f t="shared" si="5"/>
        <v>2000</v>
      </c>
      <c r="P39" s="55">
        <f t="shared" si="5"/>
        <v>2000</v>
      </c>
      <c r="Q39" s="55">
        <f t="shared" si="5"/>
        <v>2000</v>
      </c>
      <c r="R39" s="55">
        <f t="shared" si="5"/>
        <v>2000</v>
      </c>
      <c r="S39" s="55">
        <f t="shared" si="5"/>
        <v>2000</v>
      </c>
      <c r="T39" s="55">
        <f t="shared" si="5"/>
        <v>2000</v>
      </c>
      <c r="U39" s="55">
        <f t="shared" si="5"/>
        <v>2000</v>
      </c>
      <c r="V39" s="55">
        <f t="shared" si="5"/>
        <v>2000</v>
      </c>
      <c r="W39" s="55">
        <f t="shared" si="5"/>
        <v>2000</v>
      </c>
      <c r="X39" s="55">
        <f t="shared" si="5"/>
        <v>2000</v>
      </c>
      <c r="Y39" s="55">
        <f t="shared" si="6"/>
        <v>2000</v>
      </c>
      <c r="Z39" s="55">
        <f t="shared" si="6"/>
        <v>2000</v>
      </c>
      <c r="AA39" s="55">
        <f t="shared" si="6"/>
        <v>2000</v>
      </c>
      <c r="AB39" s="55">
        <f t="shared" si="6"/>
        <v>2000</v>
      </c>
      <c r="AC39" s="55">
        <f t="shared" si="6"/>
        <v>2000</v>
      </c>
      <c r="AD39" s="55">
        <f t="shared" si="6"/>
        <v>2000</v>
      </c>
      <c r="AE39" s="55">
        <f t="shared" si="6"/>
        <v>2000</v>
      </c>
      <c r="AF39" s="55">
        <f t="shared" si="6"/>
        <v>2000</v>
      </c>
      <c r="AG39" s="55">
        <f t="shared" si="6"/>
        <v>2000</v>
      </c>
      <c r="AH39" s="55">
        <f t="shared" si="6"/>
        <v>2000</v>
      </c>
      <c r="AI39" s="55">
        <f t="shared" si="7"/>
        <v>2000</v>
      </c>
      <c r="AJ39" s="55">
        <f t="shared" si="7"/>
        <v>2000</v>
      </c>
      <c r="AK39" s="55">
        <f t="shared" si="7"/>
        <v>2000</v>
      </c>
      <c r="AL39" s="55">
        <f t="shared" si="7"/>
        <v>2000</v>
      </c>
      <c r="AM39" s="55">
        <f t="shared" si="7"/>
        <v>2000</v>
      </c>
      <c r="AN39" s="55">
        <f t="shared" si="7"/>
        <v>2000</v>
      </c>
      <c r="AO39" s="55">
        <f t="shared" si="7"/>
        <v>2000</v>
      </c>
      <c r="AP39" s="55">
        <f t="shared" si="7"/>
        <v>2000</v>
      </c>
      <c r="AQ39" s="55">
        <f t="shared" si="7"/>
        <v>2000</v>
      </c>
      <c r="AR39" s="55">
        <f t="shared" si="7"/>
        <v>2000</v>
      </c>
      <c r="AS39" s="55">
        <f t="shared" si="8"/>
        <v>2000</v>
      </c>
      <c r="AT39" s="55">
        <f t="shared" si="8"/>
        <v>2000</v>
      </c>
      <c r="AU39" s="55">
        <f t="shared" si="8"/>
        <v>2000</v>
      </c>
      <c r="AV39" s="55">
        <f t="shared" si="8"/>
        <v>2000</v>
      </c>
      <c r="AW39" s="55">
        <f t="shared" si="8"/>
        <v>2000</v>
      </c>
      <c r="AX39" s="55">
        <f t="shared" si="8"/>
        <v>2000</v>
      </c>
      <c r="AY39" s="55">
        <f t="shared" si="8"/>
        <v>2000</v>
      </c>
      <c r="AZ39" s="55">
        <f t="shared" si="8"/>
        <v>2000</v>
      </c>
      <c r="BA39" s="55">
        <f t="shared" si="8"/>
        <v>2000</v>
      </c>
      <c r="BB39" s="55">
        <f t="shared" si="8"/>
        <v>2000</v>
      </c>
      <c r="BC39" s="55">
        <f t="shared" si="8"/>
        <v>2000</v>
      </c>
      <c r="BD39" s="55">
        <f t="shared" si="8"/>
        <v>2000</v>
      </c>
      <c r="BE39" s="55">
        <f t="shared" si="8"/>
        <v>2000</v>
      </c>
      <c r="BF39" s="55">
        <f t="shared" si="8"/>
        <v>2000</v>
      </c>
      <c r="BG39" s="55">
        <f t="shared" si="8"/>
        <v>2000</v>
      </c>
      <c r="BH39" s="413">
        <f t="shared" si="9"/>
        <v>90000</v>
      </c>
    </row>
    <row r="40" spans="2:60" ht="30" hidden="1" outlineLevel="1">
      <c r="B40" s="164" t="s">
        <v>286</v>
      </c>
      <c r="D40" s="55">
        <f>ROUNDUP('Vendor Quotes'!D13*4,-3)</f>
        <v>2000</v>
      </c>
      <c r="E40" s="55">
        <f>D40</f>
        <v>2000</v>
      </c>
      <c r="F40" s="55">
        <f>D40</f>
        <v>2000</v>
      </c>
      <c r="G40" s="55"/>
      <c r="H40" s="157" t="s">
        <v>284</v>
      </c>
      <c r="I40" s="53" t="s">
        <v>287</v>
      </c>
      <c r="K40" s="53" t="str">
        <f>B189</f>
        <v>Analyzers, indicators, analytical instruments and misc. instrumentation</v>
      </c>
      <c r="M40" s="218" t="str">
        <f t="shared" si="4"/>
        <v>Ultrasonic level switch</v>
      </c>
      <c r="N40" s="164"/>
      <c r="O40" s="55">
        <f t="shared" si="5"/>
        <v>2000</v>
      </c>
      <c r="P40" s="55">
        <f t="shared" si="5"/>
        <v>2000</v>
      </c>
      <c r="Q40" s="55">
        <f t="shared" si="5"/>
        <v>2000</v>
      </c>
      <c r="R40" s="55">
        <f t="shared" si="5"/>
        <v>2000</v>
      </c>
      <c r="S40" s="55">
        <f t="shared" si="5"/>
        <v>2000</v>
      </c>
      <c r="T40" s="55">
        <f t="shared" si="5"/>
        <v>2000</v>
      </c>
      <c r="U40" s="55">
        <f t="shared" si="5"/>
        <v>2000</v>
      </c>
      <c r="V40" s="55">
        <f t="shared" si="5"/>
        <v>2000</v>
      </c>
      <c r="W40" s="55">
        <f t="shared" si="5"/>
        <v>2000</v>
      </c>
      <c r="X40" s="55">
        <f t="shared" si="5"/>
        <v>2000</v>
      </c>
      <c r="Y40" s="55">
        <f t="shared" si="6"/>
        <v>2000</v>
      </c>
      <c r="Z40" s="55">
        <f t="shared" si="6"/>
        <v>2000</v>
      </c>
      <c r="AA40" s="55">
        <f t="shared" si="6"/>
        <v>2000</v>
      </c>
      <c r="AB40" s="55">
        <f t="shared" si="6"/>
        <v>2000</v>
      </c>
      <c r="AC40" s="55">
        <f t="shared" si="6"/>
        <v>2000</v>
      </c>
      <c r="AD40" s="55">
        <f t="shared" si="6"/>
        <v>2000</v>
      </c>
      <c r="AE40" s="55">
        <f t="shared" si="6"/>
        <v>2000</v>
      </c>
      <c r="AF40" s="55">
        <f t="shared" si="6"/>
        <v>2000</v>
      </c>
      <c r="AG40" s="55">
        <f t="shared" si="6"/>
        <v>2000</v>
      </c>
      <c r="AH40" s="55">
        <f t="shared" si="6"/>
        <v>2000</v>
      </c>
      <c r="AI40" s="55">
        <f t="shared" si="7"/>
        <v>2000</v>
      </c>
      <c r="AJ40" s="55">
        <f t="shared" si="7"/>
        <v>2000</v>
      </c>
      <c r="AK40" s="55">
        <f t="shared" si="7"/>
        <v>2000</v>
      </c>
      <c r="AL40" s="55">
        <f t="shared" si="7"/>
        <v>2000</v>
      </c>
      <c r="AM40" s="55">
        <f t="shared" si="7"/>
        <v>2000</v>
      </c>
      <c r="AN40" s="55">
        <f t="shared" si="7"/>
        <v>2000</v>
      </c>
      <c r="AO40" s="55">
        <f t="shared" si="7"/>
        <v>2000</v>
      </c>
      <c r="AP40" s="55">
        <f t="shared" si="7"/>
        <v>2000</v>
      </c>
      <c r="AQ40" s="55">
        <f t="shared" si="7"/>
        <v>2000</v>
      </c>
      <c r="AR40" s="55">
        <f t="shared" si="7"/>
        <v>2000</v>
      </c>
      <c r="AS40" s="55">
        <f t="shared" si="8"/>
        <v>2000</v>
      </c>
      <c r="AT40" s="55">
        <f t="shared" si="8"/>
        <v>2000</v>
      </c>
      <c r="AU40" s="55">
        <f t="shared" si="8"/>
        <v>2000</v>
      </c>
      <c r="AV40" s="55">
        <f t="shared" si="8"/>
        <v>2000</v>
      </c>
      <c r="AW40" s="55">
        <f t="shared" si="8"/>
        <v>2000</v>
      </c>
      <c r="AX40" s="55">
        <f t="shared" si="8"/>
        <v>2000</v>
      </c>
      <c r="AY40" s="55">
        <f t="shared" si="8"/>
        <v>2000</v>
      </c>
      <c r="AZ40" s="55">
        <f t="shared" si="8"/>
        <v>2000</v>
      </c>
      <c r="BA40" s="55">
        <f t="shared" si="8"/>
        <v>2000</v>
      </c>
      <c r="BB40" s="55">
        <f t="shared" si="8"/>
        <v>2000</v>
      </c>
      <c r="BC40" s="55">
        <f t="shared" si="8"/>
        <v>2000</v>
      </c>
      <c r="BD40" s="55">
        <f t="shared" si="8"/>
        <v>2000</v>
      </c>
      <c r="BE40" s="55">
        <f t="shared" si="8"/>
        <v>2000</v>
      </c>
      <c r="BF40" s="55">
        <f t="shared" si="8"/>
        <v>2000</v>
      </c>
      <c r="BG40" s="55">
        <f t="shared" si="8"/>
        <v>2000</v>
      </c>
      <c r="BH40" s="413">
        <f t="shared" si="9"/>
        <v>90000</v>
      </c>
    </row>
    <row r="41" spans="2:60" hidden="1" outlineLevel="1">
      <c r="B41" s="164" t="s">
        <v>288</v>
      </c>
      <c r="D41" s="55">
        <f>ROUNDUP('Vendor Quotes'!D14,-2)</f>
        <v>3000</v>
      </c>
      <c r="E41" s="55">
        <f>D41</f>
        <v>3000</v>
      </c>
      <c r="F41" s="55">
        <f t="shared" ref="F41:F42" si="10">D41</f>
        <v>3000</v>
      </c>
      <c r="G41" s="55"/>
      <c r="H41" s="157" t="s">
        <v>284</v>
      </c>
      <c r="K41" s="53" t="str">
        <f>B185</f>
        <v xml:space="preserve">Appurtenances of the system (e.g. piping, tanks) </v>
      </c>
      <c r="M41" s="218" t="str">
        <f t="shared" si="4"/>
        <v>Tanker loading station  for engineered tanks</v>
      </c>
      <c r="N41" s="164"/>
      <c r="O41" s="55">
        <f t="shared" si="5"/>
        <v>3000</v>
      </c>
      <c r="P41" s="55">
        <f t="shared" si="5"/>
        <v>3000</v>
      </c>
      <c r="Q41" s="55">
        <f t="shared" si="5"/>
        <v>3000</v>
      </c>
      <c r="R41" s="55">
        <f t="shared" si="5"/>
        <v>3000</v>
      </c>
      <c r="S41" s="55">
        <f t="shared" si="5"/>
        <v>3000</v>
      </c>
      <c r="T41" s="55">
        <f t="shared" si="5"/>
        <v>3000</v>
      </c>
      <c r="U41" s="55">
        <f t="shared" si="5"/>
        <v>3000</v>
      </c>
      <c r="V41" s="55">
        <f t="shared" si="5"/>
        <v>3000</v>
      </c>
      <c r="W41" s="55">
        <f t="shared" si="5"/>
        <v>3000</v>
      </c>
      <c r="X41" s="55">
        <f t="shared" si="5"/>
        <v>3000</v>
      </c>
      <c r="Y41" s="55">
        <f t="shared" si="6"/>
        <v>3000</v>
      </c>
      <c r="Z41" s="55">
        <f t="shared" si="6"/>
        <v>3000</v>
      </c>
      <c r="AA41" s="55">
        <f t="shared" si="6"/>
        <v>3000</v>
      </c>
      <c r="AB41" s="55">
        <f t="shared" si="6"/>
        <v>3000</v>
      </c>
      <c r="AC41" s="55">
        <f t="shared" si="6"/>
        <v>3000</v>
      </c>
      <c r="AD41" s="55">
        <f t="shared" si="6"/>
        <v>3000</v>
      </c>
      <c r="AE41" s="55">
        <f t="shared" si="6"/>
        <v>3000</v>
      </c>
      <c r="AF41" s="55">
        <f t="shared" si="6"/>
        <v>3000</v>
      </c>
      <c r="AG41" s="55">
        <f t="shared" si="6"/>
        <v>3000</v>
      </c>
      <c r="AH41" s="55">
        <f t="shared" si="6"/>
        <v>3000</v>
      </c>
      <c r="AI41" s="55">
        <f t="shared" si="7"/>
        <v>3000</v>
      </c>
      <c r="AJ41" s="55">
        <f t="shared" si="7"/>
        <v>3000</v>
      </c>
      <c r="AK41" s="55">
        <f t="shared" si="7"/>
        <v>3000</v>
      </c>
      <c r="AL41" s="55">
        <f t="shared" si="7"/>
        <v>3000</v>
      </c>
      <c r="AM41" s="55">
        <f t="shared" si="7"/>
        <v>3000</v>
      </c>
      <c r="AN41" s="55">
        <f t="shared" si="7"/>
        <v>3000</v>
      </c>
      <c r="AO41" s="55">
        <f t="shared" si="7"/>
        <v>3000</v>
      </c>
      <c r="AP41" s="55">
        <f t="shared" si="7"/>
        <v>3000</v>
      </c>
      <c r="AQ41" s="55">
        <f t="shared" si="7"/>
        <v>3000</v>
      </c>
      <c r="AR41" s="55">
        <f t="shared" si="7"/>
        <v>3000</v>
      </c>
      <c r="AS41" s="55">
        <f t="shared" si="8"/>
        <v>3000</v>
      </c>
      <c r="AT41" s="55">
        <f t="shared" si="8"/>
        <v>3000</v>
      </c>
      <c r="AU41" s="55">
        <f t="shared" si="8"/>
        <v>3000</v>
      </c>
      <c r="AV41" s="55">
        <f t="shared" si="8"/>
        <v>3000</v>
      </c>
      <c r="AW41" s="55">
        <f t="shared" si="8"/>
        <v>3000</v>
      </c>
      <c r="AX41" s="55">
        <f t="shared" si="8"/>
        <v>3000</v>
      </c>
      <c r="AY41" s="55">
        <f t="shared" si="8"/>
        <v>3000</v>
      </c>
      <c r="AZ41" s="55">
        <f t="shared" si="8"/>
        <v>3000</v>
      </c>
      <c r="BA41" s="55">
        <f t="shared" si="8"/>
        <v>3000</v>
      </c>
      <c r="BB41" s="55">
        <f t="shared" si="8"/>
        <v>3000</v>
      </c>
      <c r="BC41" s="55">
        <f t="shared" si="8"/>
        <v>3000</v>
      </c>
      <c r="BD41" s="55">
        <f t="shared" si="8"/>
        <v>3000</v>
      </c>
      <c r="BE41" s="55">
        <f t="shared" si="8"/>
        <v>3000</v>
      </c>
      <c r="BF41" s="55">
        <f t="shared" si="8"/>
        <v>3000</v>
      </c>
      <c r="BG41" s="55">
        <f t="shared" si="8"/>
        <v>3000</v>
      </c>
      <c r="BH41" s="413">
        <f t="shared" si="9"/>
        <v>135000</v>
      </c>
    </row>
    <row r="42" spans="2:60" ht="30" hidden="1" outlineLevel="1">
      <c r="B42" s="164" t="s">
        <v>289</v>
      </c>
      <c r="D42" s="55">
        <f>ROUNDUP('Vendor Quotes'!D15*2,-2)</f>
        <v>600</v>
      </c>
      <c r="E42" s="55">
        <f>D42</f>
        <v>600</v>
      </c>
      <c r="F42" s="55">
        <f t="shared" si="10"/>
        <v>600</v>
      </c>
      <c r="G42" s="55"/>
      <c r="H42" s="157" t="s">
        <v>284</v>
      </c>
      <c r="I42" s="53" t="s">
        <v>290</v>
      </c>
      <c r="K42" s="53" t="str">
        <f>B189</f>
        <v>Analyzers, indicators, analytical instruments and misc. instrumentation</v>
      </c>
      <c r="M42" s="218" t="str">
        <f t="shared" si="4"/>
        <v>Leak detection switch x2</v>
      </c>
      <c r="N42" s="164"/>
      <c r="O42" s="55">
        <f t="shared" si="5"/>
        <v>600</v>
      </c>
      <c r="P42" s="55">
        <f t="shared" si="5"/>
        <v>600</v>
      </c>
      <c r="Q42" s="55">
        <f t="shared" si="5"/>
        <v>600</v>
      </c>
      <c r="R42" s="55">
        <f t="shared" si="5"/>
        <v>600</v>
      </c>
      <c r="S42" s="55">
        <f t="shared" si="5"/>
        <v>600</v>
      </c>
      <c r="T42" s="55">
        <f t="shared" si="5"/>
        <v>600</v>
      </c>
      <c r="U42" s="55">
        <f t="shared" si="5"/>
        <v>600</v>
      </c>
      <c r="V42" s="55">
        <f t="shared" si="5"/>
        <v>600</v>
      </c>
      <c r="W42" s="55">
        <f t="shared" si="5"/>
        <v>600</v>
      </c>
      <c r="X42" s="55">
        <f t="shared" si="5"/>
        <v>600</v>
      </c>
      <c r="Y42" s="55">
        <f t="shared" si="6"/>
        <v>600</v>
      </c>
      <c r="Z42" s="55">
        <f t="shared" si="6"/>
        <v>600</v>
      </c>
      <c r="AA42" s="55">
        <f t="shared" si="6"/>
        <v>600</v>
      </c>
      <c r="AB42" s="55">
        <f t="shared" si="6"/>
        <v>600</v>
      </c>
      <c r="AC42" s="55">
        <f t="shared" si="6"/>
        <v>600</v>
      </c>
      <c r="AD42" s="55">
        <f t="shared" si="6"/>
        <v>600</v>
      </c>
      <c r="AE42" s="55">
        <f t="shared" si="6"/>
        <v>600</v>
      </c>
      <c r="AF42" s="55">
        <f t="shared" si="6"/>
        <v>600</v>
      </c>
      <c r="AG42" s="55">
        <f t="shared" si="6"/>
        <v>600</v>
      </c>
      <c r="AH42" s="55">
        <f t="shared" si="6"/>
        <v>600</v>
      </c>
      <c r="AI42" s="55">
        <f t="shared" si="7"/>
        <v>600</v>
      </c>
      <c r="AJ42" s="55">
        <f t="shared" si="7"/>
        <v>600</v>
      </c>
      <c r="AK42" s="55">
        <f t="shared" si="7"/>
        <v>600</v>
      </c>
      <c r="AL42" s="55">
        <f t="shared" si="7"/>
        <v>600</v>
      </c>
      <c r="AM42" s="55">
        <f t="shared" si="7"/>
        <v>600</v>
      </c>
      <c r="AN42" s="55">
        <f t="shared" si="7"/>
        <v>600</v>
      </c>
      <c r="AO42" s="55">
        <f t="shared" si="7"/>
        <v>600</v>
      </c>
      <c r="AP42" s="55">
        <f t="shared" si="7"/>
        <v>600</v>
      </c>
      <c r="AQ42" s="55">
        <f t="shared" si="7"/>
        <v>600</v>
      </c>
      <c r="AR42" s="55">
        <f t="shared" si="7"/>
        <v>600</v>
      </c>
      <c r="AS42" s="55">
        <f t="shared" si="8"/>
        <v>600</v>
      </c>
      <c r="AT42" s="55">
        <f t="shared" si="8"/>
        <v>600</v>
      </c>
      <c r="AU42" s="55">
        <f t="shared" si="8"/>
        <v>600</v>
      </c>
      <c r="AV42" s="55">
        <f t="shared" si="8"/>
        <v>600</v>
      </c>
      <c r="AW42" s="55">
        <f t="shared" si="8"/>
        <v>600</v>
      </c>
      <c r="AX42" s="55">
        <f t="shared" si="8"/>
        <v>600</v>
      </c>
      <c r="AY42" s="55">
        <f t="shared" si="8"/>
        <v>600</v>
      </c>
      <c r="AZ42" s="55">
        <f t="shared" si="8"/>
        <v>600</v>
      </c>
      <c r="BA42" s="55">
        <f t="shared" si="8"/>
        <v>600</v>
      </c>
      <c r="BB42" s="55">
        <f t="shared" si="8"/>
        <v>600</v>
      </c>
      <c r="BC42" s="55">
        <f t="shared" si="8"/>
        <v>600</v>
      </c>
      <c r="BD42" s="55">
        <f t="shared" si="8"/>
        <v>600</v>
      </c>
      <c r="BE42" s="55">
        <f t="shared" si="8"/>
        <v>600</v>
      </c>
      <c r="BF42" s="55">
        <f t="shared" si="8"/>
        <v>600</v>
      </c>
      <c r="BG42" s="55">
        <f t="shared" si="8"/>
        <v>600</v>
      </c>
      <c r="BH42" s="413">
        <f t="shared" si="9"/>
        <v>27000</v>
      </c>
    </row>
    <row r="43" spans="2:60" hidden="1" outlineLevel="1">
      <c r="B43" s="164" t="s">
        <v>291</v>
      </c>
      <c r="D43" s="168">
        <f>5000*D14</f>
        <v>10000</v>
      </c>
      <c r="E43" s="168">
        <f>5000*E14</f>
        <v>10000</v>
      </c>
      <c r="F43" s="168">
        <f>5000*F14</f>
        <v>10000</v>
      </c>
      <c r="G43" s="168"/>
      <c r="H43" s="202"/>
      <c r="K43" s="53" t="str">
        <f>B185</f>
        <v xml:space="preserve">Appurtenances of the system (e.g. piping, tanks) </v>
      </c>
      <c r="M43" s="218" t="str">
        <f t="shared" si="4"/>
        <v>Carrier water pumps</v>
      </c>
      <c r="N43" s="164"/>
      <c r="O43" s="168">
        <f t="shared" si="5"/>
        <v>10000</v>
      </c>
      <c r="P43" s="168">
        <f t="shared" si="5"/>
        <v>10000</v>
      </c>
      <c r="Q43" s="168">
        <f t="shared" si="5"/>
        <v>10000</v>
      </c>
      <c r="R43" s="168">
        <f t="shared" si="5"/>
        <v>10000</v>
      </c>
      <c r="S43" s="168">
        <f t="shared" si="5"/>
        <v>10000</v>
      </c>
      <c r="T43" s="168">
        <f t="shared" si="5"/>
        <v>10000</v>
      </c>
      <c r="U43" s="168">
        <f t="shared" si="5"/>
        <v>10000</v>
      </c>
      <c r="V43" s="168">
        <f t="shared" si="5"/>
        <v>10000</v>
      </c>
      <c r="W43" s="168">
        <f t="shared" si="5"/>
        <v>10000</v>
      </c>
      <c r="X43" s="168">
        <f t="shared" si="5"/>
        <v>10000</v>
      </c>
      <c r="Y43" s="168">
        <f t="shared" si="6"/>
        <v>10000</v>
      </c>
      <c r="Z43" s="168">
        <f t="shared" si="6"/>
        <v>10000</v>
      </c>
      <c r="AA43" s="168">
        <f t="shared" si="6"/>
        <v>10000</v>
      </c>
      <c r="AB43" s="168">
        <f t="shared" si="6"/>
        <v>10000</v>
      </c>
      <c r="AC43" s="168">
        <f t="shared" si="6"/>
        <v>10000</v>
      </c>
      <c r="AD43" s="168">
        <f t="shared" si="6"/>
        <v>10000</v>
      </c>
      <c r="AE43" s="168">
        <f t="shared" si="6"/>
        <v>10000</v>
      </c>
      <c r="AF43" s="168">
        <f t="shared" si="6"/>
        <v>10000</v>
      </c>
      <c r="AG43" s="168">
        <f t="shared" si="6"/>
        <v>10000</v>
      </c>
      <c r="AH43" s="168">
        <f t="shared" si="6"/>
        <v>10000</v>
      </c>
      <c r="AI43" s="168">
        <f t="shared" si="7"/>
        <v>10000</v>
      </c>
      <c r="AJ43" s="168">
        <f t="shared" si="7"/>
        <v>10000</v>
      </c>
      <c r="AK43" s="168">
        <f t="shared" si="7"/>
        <v>10000</v>
      </c>
      <c r="AL43" s="168">
        <f t="shared" si="7"/>
        <v>10000</v>
      </c>
      <c r="AM43" s="168">
        <f t="shared" si="7"/>
        <v>10000</v>
      </c>
      <c r="AN43" s="168">
        <f t="shared" si="7"/>
        <v>10000</v>
      </c>
      <c r="AO43" s="168">
        <f t="shared" si="7"/>
        <v>10000</v>
      </c>
      <c r="AP43" s="168">
        <f t="shared" si="7"/>
        <v>10000</v>
      </c>
      <c r="AQ43" s="168">
        <f t="shared" si="7"/>
        <v>10000</v>
      </c>
      <c r="AR43" s="168">
        <f t="shared" si="7"/>
        <v>10000</v>
      </c>
      <c r="AS43" s="168">
        <f t="shared" si="8"/>
        <v>10000</v>
      </c>
      <c r="AT43" s="168">
        <f t="shared" si="8"/>
        <v>10000</v>
      </c>
      <c r="AU43" s="168">
        <f t="shared" si="8"/>
        <v>10000</v>
      </c>
      <c r="AV43" s="168">
        <f t="shared" si="8"/>
        <v>10000</v>
      </c>
      <c r="AW43" s="168">
        <f t="shared" si="8"/>
        <v>10000</v>
      </c>
      <c r="AX43" s="168">
        <f t="shared" si="8"/>
        <v>10000</v>
      </c>
      <c r="AY43" s="168">
        <f t="shared" si="8"/>
        <v>10000</v>
      </c>
      <c r="AZ43" s="168">
        <f t="shared" si="8"/>
        <v>10000</v>
      </c>
      <c r="BA43" s="168">
        <f t="shared" si="8"/>
        <v>10000</v>
      </c>
      <c r="BB43" s="168">
        <f t="shared" si="8"/>
        <v>10000</v>
      </c>
      <c r="BC43" s="168">
        <f t="shared" si="8"/>
        <v>10000</v>
      </c>
      <c r="BD43" s="168">
        <f t="shared" si="8"/>
        <v>10000</v>
      </c>
      <c r="BE43" s="168">
        <f t="shared" si="8"/>
        <v>10000</v>
      </c>
      <c r="BF43" s="168">
        <f t="shared" si="8"/>
        <v>10000</v>
      </c>
      <c r="BG43" s="168">
        <f t="shared" si="8"/>
        <v>10000</v>
      </c>
      <c r="BH43" s="414">
        <f t="shared" si="9"/>
        <v>450000</v>
      </c>
    </row>
    <row r="44" spans="2:60" ht="30" hidden="1" outlineLevel="1">
      <c r="B44" s="164" t="s">
        <v>292</v>
      </c>
      <c r="C44" s="78"/>
      <c r="D44" s="55">
        <f>ROUNDUP(D34*1,-3)</f>
        <v>8000</v>
      </c>
      <c r="E44" s="55">
        <f t="shared" ref="E44:F44" si="11">ROUNDUP(E34*1,-3)</f>
        <v>8000</v>
      </c>
      <c r="F44" s="55">
        <f t="shared" si="11"/>
        <v>10000</v>
      </c>
      <c r="G44" s="55"/>
      <c r="H44" s="157" t="s">
        <v>279</v>
      </c>
      <c r="I44" s="53" t="s">
        <v>293</v>
      </c>
      <c r="K44" s="53" t="str">
        <f>B185</f>
        <v xml:space="preserve">Appurtenances of the system (e.g. piping, tanks) </v>
      </c>
      <c r="M44" s="218" t="str">
        <f t="shared" si="4"/>
        <v>Bunding</v>
      </c>
      <c r="N44" s="164"/>
      <c r="O44" s="168">
        <f t="shared" ref="O44:X52" si="12">INDEX($D44:$F44,MATCH(O$8,$D$5:$F$5,0))</f>
        <v>8000</v>
      </c>
      <c r="P44" s="168">
        <f t="shared" si="12"/>
        <v>8000</v>
      </c>
      <c r="Q44" s="168">
        <f t="shared" si="12"/>
        <v>8000</v>
      </c>
      <c r="R44" s="168">
        <f t="shared" si="12"/>
        <v>10000</v>
      </c>
      <c r="S44" s="168">
        <f t="shared" si="12"/>
        <v>8000</v>
      </c>
      <c r="T44" s="168">
        <f t="shared" si="12"/>
        <v>10000</v>
      </c>
      <c r="U44" s="168">
        <f t="shared" si="12"/>
        <v>8000</v>
      </c>
      <c r="V44" s="168">
        <f t="shared" si="12"/>
        <v>8000</v>
      </c>
      <c r="W44" s="168">
        <f t="shared" si="12"/>
        <v>8000</v>
      </c>
      <c r="X44" s="168">
        <f t="shared" si="12"/>
        <v>8000</v>
      </c>
      <c r="Y44" s="168">
        <f t="shared" ref="Y44:AH52" si="13">INDEX($D44:$F44,MATCH(Y$8,$D$5:$F$5,0))</f>
        <v>8000</v>
      </c>
      <c r="Z44" s="168">
        <f t="shared" si="13"/>
        <v>8000</v>
      </c>
      <c r="AA44" s="168">
        <f t="shared" si="13"/>
        <v>8000</v>
      </c>
      <c r="AB44" s="168">
        <f t="shared" si="13"/>
        <v>8000</v>
      </c>
      <c r="AC44" s="168">
        <f t="shared" si="13"/>
        <v>8000</v>
      </c>
      <c r="AD44" s="168">
        <f t="shared" si="13"/>
        <v>8000</v>
      </c>
      <c r="AE44" s="168">
        <f t="shared" si="13"/>
        <v>8000</v>
      </c>
      <c r="AF44" s="168">
        <f t="shared" si="13"/>
        <v>10000</v>
      </c>
      <c r="AG44" s="168">
        <f t="shared" si="13"/>
        <v>10000</v>
      </c>
      <c r="AH44" s="168">
        <f t="shared" si="13"/>
        <v>8000</v>
      </c>
      <c r="AI44" s="168">
        <f t="shared" ref="AI44:AR52" si="14">INDEX($D44:$F44,MATCH(AI$8,$D$5:$F$5,0))</f>
        <v>10000</v>
      </c>
      <c r="AJ44" s="168">
        <f t="shared" si="14"/>
        <v>10000</v>
      </c>
      <c r="AK44" s="168">
        <f t="shared" si="14"/>
        <v>8000</v>
      </c>
      <c r="AL44" s="168">
        <f t="shared" si="14"/>
        <v>8000</v>
      </c>
      <c r="AM44" s="168">
        <f t="shared" si="14"/>
        <v>8000</v>
      </c>
      <c r="AN44" s="168">
        <f t="shared" si="14"/>
        <v>8000</v>
      </c>
      <c r="AO44" s="168">
        <f t="shared" si="14"/>
        <v>8000</v>
      </c>
      <c r="AP44" s="168">
        <f t="shared" si="14"/>
        <v>8000</v>
      </c>
      <c r="AQ44" s="168">
        <f t="shared" si="14"/>
        <v>8000</v>
      </c>
      <c r="AR44" s="168">
        <f t="shared" si="14"/>
        <v>8000</v>
      </c>
      <c r="AS44" s="168">
        <f t="shared" ref="AS44:BG52" si="15">INDEX($D44:$F44,MATCH(AS$8,$D$5:$F$5,0))</f>
        <v>8000</v>
      </c>
      <c r="AT44" s="168">
        <f t="shared" si="15"/>
        <v>8000</v>
      </c>
      <c r="AU44" s="168">
        <f t="shared" si="15"/>
        <v>8000</v>
      </c>
      <c r="AV44" s="168">
        <f t="shared" si="15"/>
        <v>8000</v>
      </c>
      <c r="AW44" s="168">
        <f t="shared" si="15"/>
        <v>8000</v>
      </c>
      <c r="AX44" s="168">
        <f t="shared" si="15"/>
        <v>8000</v>
      </c>
      <c r="AY44" s="168">
        <f t="shared" si="15"/>
        <v>8000</v>
      </c>
      <c r="AZ44" s="168">
        <f t="shared" si="15"/>
        <v>10000</v>
      </c>
      <c r="BA44" s="168">
        <f t="shared" si="15"/>
        <v>8000</v>
      </c>
      <c r="BB44" s="168">
        <f t="shared" si="15"/>
        <v>8000</v>
      </c>
      <c r="BC44" s="168">
        <f t="shared" si="15"/>
        <v>8000</v>
      </c>
      <c r="BD44" s="168">
        <f t="shared" si="15"/>
        <v>10000</v>
      </c>
      <c r="BE44" s="168">
        <f t="shared" si="15"/>
        <v>8000</v>
      </c>
      <c r="BF44" s="168">
        <f t="shared" si="15"/>
        <v>8000</v>
      </c>
      <c r="BG44" s="168">
        <f t="shared" si="15"/>
        <v>8000</v>
      </c>
      <c r="BH44" s="414">
        <f t="shared" si="9"/>
        <v>376000</v>
      </c>
    </row>
    <row r="45" spans="2:60" hidden="1" outlineLevel="1">
      <c r="B45" s="164" t="s">
        <v>294</v>
      </c>
      <c r="C45" s="78"/>
      <c r="D45" s="168">
        <v>2000</v>
      </c>
      <c r="E45" s="168">
        <v>2000</v>
      </c>
      <c r="F45" s="168">
        <v>2000</v>
      </c>
      <c r="G45" s="168"/>
      <c r="H45" s="202"/>
      <c r="K45" s="53" t="str">
        <f>B185</f>
        <v xml:space="preserve">Appurtenances of the system (e.g. piping, tanks) </v>
      </c>
      <c r="M45" s="218" t="str">
        <f t="shared" si="4"/>
        <v>waste tank</v>
      </c>
      <c r="N45" s="164"/>
      <c r="O45" s="168">
        <f t="shared" si="12"/>
        <v>2000</v>
      </c>
      <c r="P45" s="168">
        <f t="shared" si="12"/>
        <v>2000</v>
      </c>
      <c r="Q45" s="168">
        <f t="shared" si="12"/>
        <v>2000</v>
      </c>
      <c r="R45" s="168">
        <f t="shared" si="12"/>
        <v>2000</v>
      </c>
      <c r="S45" s="168">
        <f t="shared" si="12"/>
        <v>2000</v>
      </c>
      <c r="T45" s="168">
        <f t="shared" si="12"/>
        <v>2000</v>
      </c>
      <c r="U45" s="168">
        <f t="shared" si="12"/>
        <v>2000</v>
      </c>
      <c r="V45" s="168">
        <f t="shared" si="12"/>
        <v>2000</v>
      </c>
      <c r="W45" s="168">
        <f t="shared" si="12"/>
        <v>2000</v>
      </c>
      <c r="X45" s="168">
        <f t="shared" si="12"/>
        <v>2000</v>
      </c>
      <c r="Y45" s="168">
        <f t="shared" si="13"/>
        <v>2000</v>
      </c>
      <c r="Z45" s="168">
        <f t="shared" si="13"/>
        <v>2000</v>
      </c>
      <c r="AA45" s="168">
        <f t="shared" si="13"/>
        <v>2000</v>
      </c>
      <c r="AB45" s="168">
        <f t="shared" si="13"/>
        <v>2000</v>
      </c>
      <c r="AC45" s="168">
        <f t="shared" si="13"/>
        <v>2000</v>
      </c>
      <c r="AD45" s="168">
        <f t="shared" si="13"/>
        <v>2000</v>
      </c>
      <c r="AE45" s="168">
        <f t="shared" si="13"/>
        <v>2000</v>
      </c>
      <c r="AF45" s="168">
        <f t="shared" si="13"/>
        <v>2000</v>
      </c>
      <c r="AG45" s="168">
        <f t="shared" si="13"/>
        <v>2000</v>
      </c>
      <c r="AH45" s="168">
        <f t="shared" si="13"/>
        <v>2000</v>
      </c>
      <c r="AI45" s="168">
        <f t="shared" si="14"/>
        <v>2000</v>
      </c>
      <c r="AJ45" s="168">
        <f t="shared" si="14"/>
        <v>2000</v>
      </c>
      <c r="AK45" s="168">
        <f t="shared" si="14"/>
        <v>2000</v>
      </c>
      <c r="AL45" s="168">
        <f t="shared" si="14"/>
        <v>2000</v>
      </c>
      <c r="AM45" s="168">
        <f t="shared" si="14"/>
        <v>2000</v>
      </c>
      <c r="AN45" s="168">
        <f t="shared" si="14"/>
        <v>2000</v>
      </c>
      <c r="AO45" s="168">
        <f t="shared" si="14"/>
        <v>2000</v>
      </c>
      <c r="AP45" s="168">
        <f t="shared" si="14"/>
        <v>2000</v>
      </c>
      <c r="AQ45" s="168">
        <f t="shared" si="14"/>
        <v>2000</v>
      </c>
      <c r="AR45" s="168">
        <f t="shared" si="14"/>
        <v>2000</v>
      </c>
      <c r="AS45" s="168">
        <f t="shared" si="15"/>
        <v>2000</v>
      </c>
      <c r="AT45" s="168">
        <f t="shared" si="15"/>
        <v>2000</v>
      </c>
      <c r="AU45" s="168">
        <f t="shared" si="15"/>
        <v>2000</v>
      </c>
      <c r="AV45" s="168">
        <f t="shared" si="15"/>
        <v>2000</v>
      </c>
      <c r="AW45" s="168">
        <f t="shared" si="15"/>
        <v>2000</v>
      </c>
      <c r="AX45" s="168">
        <f t="shared" si="15"/>
        <v>2000</v>
      </c>
      <c r="AY45" s="168">
        <f t="shared" si="15"/>
        <v>2000</v>
      </c>
      <c r="AZ45" s="168">
        <f t="shared" si="15"/>
        <v>2000</v>
      </c>
      <c r="BA45" s="168">
        <f t="shared" si="15"/>
        <v>2000</v>
      </c>
      <c r="BB45" s="168">
        <f t="shared" si="15"/>
        <v>2000</v>
      </c>
      <c r="BC45" s="168">
        <f t="shared" si="15"/>
        <v>2000</v>
      </c>
      <c r="BD45" s="168">
        <f t="shared" si="15"/>
        <v>2000</v>
      </c>
      <c r="BE45" s="168">
        <f t="shared" si="15"/>
        <v>2000</v>
      </c>
      <c r="BF45" s="168">
        <f t="shared" si="15"/>
        <v>2000</v>
      </c>
      <c r="BG45" s="168">
        <f t="shared" si="15"/>
        <v>2000</v>
      </c>
      <c r="BH45" s="414">
        <f t="shared" si="9"/>
        <v>90000</v>
      </c>
    </row>
    <row r="46" spans="2:60" hidden="1" outlineLevel="1">
      <c r="B46" s="164" t="s">
        <v>295</v>
      </c>
      <c r="C46" s="78"/>
      <c r="D46" s="168">
        <v>1000</v>
      </c>
      <c r="E46" s="168">
        <v>1000</v>
      </c>
      <c r="F46" s="168">
        <v>1000</v>
      </c>
      <c r="G46" s="168"/>
      <c r="H46" s="202"/>
      <c r="I46" s="53" t="s">
        <v>296</v>
      </c>
      <c r="K46" s="53" t="str">
        <f>B185</f>
        <v xml:space="preserve">Appurtenances of the system (e.g. piping, tanks) </v>
      </c>
      <c r="M46" s="218" t="str">
        <f t="shared" si="4"/>
        <v>Injection quill</v>
      </c>
      <c r="N46" s="164"/>
      <c r="O46" s="168">
        <f t="shared" si="12"/>
        <v>1000</v>
      </c>
      <c r="P46" s="168">
        <f t="shared" si="12"/>
        <v>1000</v>
      </c>
      <c r="Q46" s="168">
        <f t="shared" si="12"/>
        <v>1000</v>
      </c>
      <c r="R46" s="168">
        <f t="shared" si="12"/>
        <v>1000</v>
      </c>
      <c r="S46" s="168">
        <f t="shared" si="12"/>
        <v>1000</v>
      </c>
      <c r="T46" s="168">
        <f t="shared" si="12"/>
        <v>1000</v>
      </c>
      <c r="U46" s="168">
        <f t="shared" si="12"/>
        <v>1000</v>
      </c>
      <c r="V46" s="168">
        <f t="shared" si="12"/>
        <v>1000</v>
      </c>
      <c r="W46" s="168">
        <f t="shared" si="12"/>
        <v>1000</v>
      </c>
      <c r="X46" s="168">
        <f t="shared" si="12"/>
        <v>1000</v>
      </c>
      <c r="Y46" s="168">
        <f t="shared" si="13"/>
        <v>1000</v>
      </c>
      <c r="Z46" s="168">
        <f t="shared" si="13"/>
        <v>1000</v>
      </c>
      <c r="AA46" s="168">
        <f t="shared" si="13"/>
        <v>1000</v>
      </c>
      <c r="AB46" s="168">
        <f t="shared" si="13"/>
        <v>1000</v>
      </c>
      <c r="AC46" s="168">
        <f t="shared" si="13"/>
        <v>1000</v>
      </c>
      <c r="AD46" s="168">
        <f t="shared" si="13"/>
        <v>1000</v>
      </c>
      <c r="AE46" s="168">
        <f t="shared" si="13"/>
        <v>1000</v>
      </c>
      <c r="AF46" s="168">
        <f t="shared" si="13"/>
        <v>1000</v>
      </c>
      <c r="AG46" s="168">
        <f t="shared" si="13"/>
        <v>1000</v>
      </c>
      <c r="AH46" s="168">
        <f t="shared" si="13"/>
        <v>1000</v>
      </c>
      <c r="AI46" s="168">
        <f t="shared" si="14"/>
        <v>1000</v>
      </c>
      <c r="AJ46" s="168">
        <f t="shared" si="14"/>
        <v>1000</v>
      </c>
      <c r="AK46" s="168">
        <f t="shared" si="14"/>
        <v>1000</v>
      </c>
      <c r="AL46" s="168">
        <f t="shared" si="14"/>
        <v>1000</v>
      </c>
      <c r="AM46" s="168">
        <f t="shared" si="14"/>
        <v>1000</v>
      </c>
      <c r="AN46" s="168">
        <f t="shared" si="14"/>
        <v>1000</v>
      </c>
      <c r="AO46" s="168">
        <f t="shared" si="14"/>
        <v>1000</v>
      </c>
      <c r="AP46" s="168">
        <f t="shared" si="14"/>
        <v>1000</v>
      </c>
      <c r="AQ46" s="168">
        <f t="shared" si="14"/>
        <v>1000</v>
      </c>
      <c r="AR46" s="168">
        <f t="shared" si="14"/>
        <v>1000</v>
      </c>
      <c r="AS46" s="168">
        <f t="shared" si="15"/>
        <v>1000</v>
      </c>
      <c r="AT46" s="168">
        <f t="shared" si="15"/>
        <v>1000</v>
      </c>
      <c r="AU46" s="168">
        <f t="shared" si="15"/>
        <v>1000</v>
      </c>
      <c r="AV46" s="168">
        <f t="shared" si="15"/>
        <v>1000</v>
      </c>
      <c r="AW46" s="168">
        <f t="shared" si="15"/>
        <v>1000</v>
      </c>
      <c r="AX46" s="168">
        <f t="shared" si="15"/>
        <v>1000</v>
      </c>
      <c r="AY46" s="168">
        <f t="shared" si="15"/>
        <v>1000</v>
      </c>
      <c r="AZ46" s="168">
        <f t="shared" si="15"/>
        <v>1000</v>
      </c>
      <c r="BA46" s="168">
        <f t="shared" si="15"/>
        <v>1000</v>
      </c>
      <c r="BB46" s="168">
        <f t="shared" si="15"/>
        <v>1000</v>
      </c>
      <c r="BC46" s="168">
        <f t="shared" si="15"/>
        <v>1000</v>
      </c>
      <c r="BD46" s="168">
        <f t="shared" si="15"/>
        <v>1000</v>
      </c>
      <c r="BE46" s="168">
        <f t="shared" si="15"/>
        <v>1000</v>
      </c>
      <c r="BF46" s="168">
        <f t="shared" si="15"/>
        <v>1000</v>
      </c>
      <c r="BG46" s="168">
        <f t="shared" si="15"/>
        <v>1000</v>
      </c>
      <c r="BH46" s="414">
        <f t="shared" si="9"/>
        <v>45000</v>
      </c>
    </row>
    <row r="47" spans="2:60" ht="30" hidden="1" outlineLevel="1">
      <c r="B47" s="164" t="s">
        <v>297</v>
      </c>
      <c r="C47" s="78"/>
      <c r="D47" s="168">
        <f>1500*1.2+20*300</f>
        <v>7800</v>
      </c>
      <c r="E47" s="168">
        <f>D47</f>
        <v>7800</v>
      </c>
      <c r="F47" s="168">
        <f>D47</f>
        <v>7800</v>
      </c>
      <c r="G47" s="168"/>
      <c r="H47" s="202" t="s">
        <v>298</v>
      </c>
      <c r="I47" s="53" t="s">
        <v>299</v>
      </c>
      <c r="K47" s="53" t="str">
        <f>B185</f>
        <v xml:space="preserve">Appurtenances of the system (e.g. piping, tanks) </v>
      </c>
      <c r="M47" s="218" t="str">
        <f t="shared" si="4"/>
        <v>Piping, Fittings and Pipe Tap</v>
      </c>
      <c r="N47" s="164"/>
      <c r="O47" s="168">
        <f t="shared" si="12"/>
        <v>7800</v>
      </c>
      <c r="P47" s="168">
        <f t="shared" si="12"/>
        <v>7800</v>
      </c>
      <c r="Q47" s="168">
        <f t="shared" si="12"/>
        <v>7800</v>
      </c>
      <c r="R47" s="168">
        <f t="shared" si="12"/>
        <v>7800</v>
      </c>
      <c r="S47" s="168">
        <f t="shared" si="12"/>
        <v>7800</v>
      </c>
      <c r="T47" s="168">
        <f t="shared" si="12"/>
        <v>7800</v>
      </c>
      <c r="U47" s="168">
        <f t="shared" si="12"/>
        <v>7800</v>
      </c>
      <c r="V47" s="168">
        <f t="shared" si="12"/>
        <v>7800</v>
      </c>
      <c r="W47" s="168">
        <f t="shared" si="12"/>
        <v>7800</v>
      </c>
      <c r="X47" s="168">
        <f t="shared" si="12"/>
        <v>7800</v>
      </c>
      <c r="Y47" s="168">
        <f t="shared" si="13"/>
        <v>7800</v>
      </c>
      <c r="Z47" s="168">
        <f t="shared" si="13"/>
        <v>7800</v>
      </c>
      <c r="AA47" s="168">
        <f t="shared" si="13"/>
        <v>7800</v>
      </c>
      <c r="AB47" s="168">
        <f t="shared" si="13"/>
        <v>7800</v>
      </c>
      <c r="AC47" s="168">
        <f t="shared" si="13"/>
        <v>7800</v>
      </c>
      <c r="AD47" s="168">
        <f t="shared" si="13"/>
        <v>7800</v>
      </c>
      <c r="AE47" s="168">
        <f t="shared" si="13"/>
        <v>7800</v>
      </c>
      <c r="AF47" s="168">
        <f t="shared" si="13"/>
        <v>7800</v>
      </c>
      <c r="AG47" s="168">
        <f t="shared" si="13"/>
        <v>7800</v>
      </c>
      <c r="AH47" s="168">
        <f t="shared" si="13"/>
        <v>7800</v>
      </c>
      <c r="AI47" s="168">
        <f t="shared" si="14"/>
        <v>7800</v>
      </c>
      <c r="AJ47" s="168">
        <f t="shared" si="14"/>
        <v>7800</v>
      </c>
      <c r="AK47" s="168">
        <f t="shared" si="14"/>
        <v>7800</v>
      </c>
      <c r="AL47" s="168">
        <f t="shared" si="14"/>
        <v>7800</v>
      </c>
      <c r="AM47" s="168">
        <f t="shared" si="14"/>
        <v>7800</v>
      </c>
      <c r="AN47" s="168">
        <f t="shared" si="14"/>
        <v>7800</v>
      </c>
      <c r="AO47" s="168">
        <f t="shared" si="14"/>
        <v>7800</v>
      </c>
      <c r="AP47" s="168">
        <f t="shared" si="14"/>
        <v>7800</v>
      </c>
      <c r="AQ47" s="168">
        <f t="shared" si="14"/>
        <v>7800</v>
      </c>
      <c r="AR47" s="168">
        <f t="shared" si="14"/>
        <v>7800</v>
      </c>
      <c r="AS47" s="168">
        <f t="shared" si="15"/>
        <v>7800</v>
      </c>
      <c r="AT47" s="168">
        <f t="shared" si="15"/>
        <v>7800</v>
      </c>
      <c r="AU47" s="168">
        <f t="shared" si="15"/>
        <v>7800</v>
      </c>
      <c r="AV47" s="168">
        <f t="shared" si="15"/>
        <v>7800</v>
      </c>
      <c r="AW47" s="168">
        <f t="shared" si="15"/>
        <v>7800</v>
      </c>
      <c r="AX47" s="168">
        <f t="shared" si="15"/>
        <v>7800</v>
      </c>
      <c r="AY47" s="168">
        <f t="shared" si="15"/>
        <v>7800</v>
      </c>
      <c r="AZ47" s="168">
        <f t="shared" si="15"/>
        <v>7800</v>
      </c>
      <c r="BA47" s="168">
        <f t="shared" si="15"/>
        <v>7800</v>
      </c>
      <c r="BB47" s="168">
        <f t="shared" si="15"/>
        <v>7800</v>
      </c>
      <c r="BC47" s="168">
        <f t="shared" si="15"/>
        <v>7800</v>
      </c>
      <c r="BD47" s="168">
        <f t="shared" si="15"/>
        <v>7800</v>
      </c>
      <c r="BE47" s="168">
        <f t="shared" si="15"/>
        <v>7800</v>
      </c>
      <c r="BF47" s="168">
        <f t="shared" si="15"/>
        <v>7800</v>
      </c>
      <c r="BG47" s="168">
        <f t="shared" si="15"/>
        <v>7800</v>
      </c>
      <c r="BH47" s="414">
        <f t="shared" si="9"/>
        <v>351000</v>
      </c>
    </row>
    <row r="48" spans="2:60" hidden="1" outlineLevel="1">
      <c r="B48" s="164" t="s">
        <v>300</v>
      </c>
      <c r="C48" s="78"/>
      <c r="D48" s="168">
        <f>'Vendor Quotes'!D41</f>
        <v>7000</v>
      </c>
      <c r="E48" s="168">
        <f>D48</f>
        <v>7000</v>
      </c>
      <c r="F48" s="168">
        <f>D48</f>
        <v>7000</v>
      </c>
      <c r="G48" s="168"/>
      <c r="H48" s="202" t="s">
        <v>275</v>
      </c>
      <c r="K48" s="53" t="str">
        <f>B185</f>
        <v xml:space="preserve">Appurtenances of the system (e.g. piping, tanks) </v>
      </c>
      <c r="L48" t="str">
        <f>B186</f>
        <v xml:space="preserve">Health and safety equipment </v>
      </c>
      <c r="M48" s="218" t="str">
        <f t="shared" si="4"/>
        <v>Safety shower</v>
      </c>
      <c r="N48" s="164"/>
      <c r="O48" s="168">
        <f t="shared" si="12"/>
        <v>7000</v>
      </c>
      <c r="P48" s="168">
        <f t="shared" si="12"/>
        <v>7000</v>
      </c>
      <c r="Q48" s="168">
        <f t="shared" si="12"/>
        <v>7000</v>
      </c>
      <c r="R48" s="168">
        <f t="shared" si="12"/>
        <v>7000</v>
      </c>
      <c r="S48" s="168">
        <f t="shared" si="12"/>
        <v>7000</v>
      </c>
      <c r="T48" s="168">
        <f t="shared" si="12"/>
        <v>7000</v>
      </c>
      <c r="U48" s="168">
        <f t="shared" si="12"/>
        <v>7000</v>
      </c>
      <c r="V48" s="168">
        <f t="shared" si="12"/>
        <v>7000</v>
      </c>
      <c r="W48" s="168">
        <f t="shared" si="12"/>
        <v>7000</v>
      </c>
      <c r="X48" s="168">
        <f t="shared" si="12"/>
        <v>7000</v>
      </c>
      <c r="Y48" s="168">
        <f t="shared" si="13"/>
        <v>7000</v>
      </c>
      <c r="Z48" s="168">
        <f t="shared" si="13"/>
        <v>7000</v>
      </c>
      <c r="AA48" s="168">
        <f t="shared" si="13"/>
        <v>7000</v>
      </c>
      <c r="AB48" s="168">
        <f t="shared" si="13"/>
        <v>7000</v>
      </c>
      <c r="AC48" s="168">
        <f t="shared" si="13"/>
        <v>7000</v>
      </c>
      <c r="AD48" s="168">
        <f t="shared" si="13"/>
        <v>7000</v>
      </c>
      <c r="AE48" s="168">
        <f t="shared" si="13"/>
        <v>7000</v>
      </c>
      <c r="AF48" s="168">
        <f t="shared" si="13"/>
        <v>7000</v>
      </c>
      <c r="AG48" s="168">
        <f t="shared" si="13"/>
        <v>7000</v>
      </c>
      <c r="AH48" s="168">
        <f t="shared" si="13"/>
        <v>7000</v>
      </c>
      <c r="AI48" s="168">
        <f t="shared" si="14"/>
        <v>7000</v>
      </c>
      <c r="AJ48" s="168">
        <f t="shared" si="14"/>
        <v>7000</v>
      </c>
      <c r="AK48" s="168">
        <f t="shared" si="14"/>
        <v>7000</v>
      </c>
      <c r="AL48" s="168">
        <f t="shared" si="14"/>
        <v>7000</v>
      </c>
      <c r="AM48" s="168">
        <f t="shared" si="14"/>
        <v>7000</v>
      </c>
      <c r="AN48" s="168">
        <f t="shared" si="14"/>
        <v>7000</v>
      </c>
      <c r="AO48" s="168">
        <f t="shared" si="14"/>
        <v>7000</v>
      </c>
      <c r="AP48" s="168">
        <f t="shared" si="14"/>
        <v>7000</v>
      </c>
      <c r="AQ48" s="168">
        <f t="shared" si="14"/>
        <v>7000</v>
      </c>
      <c r="AR48" s="168">
        <f t="shared" si="14"/>
        <v>7000</v>
      </c>
      <c r="AS48" s="168">
        <f t="shared" si="15"/>
        <v>7000</v>
      </c>
      <c r="AT48" s="168">
        <f t="shared" si="15"/>
        <v>7000</v>
      </c>
      <c r="AU48" s="168">
        <f t="shared" si="15"/>
        <v>7000</v>
      </c>
      <c r="AV48" s="168">
        <f t="shared" si="15"/>
        <v>7000</v>
      </c>
      <c r="AW48" s="168">
        <f t="shared" si="15"/>
        <v>7000</v>
      </c>
      <c r="AX48" s="168">
        <f t="shared" si="15"/>
        <v>7000</v>
      </c>
      <c r="AY48" s="168">
        <f t="shared" si="15"/>
        <v>7000</v>
      </c>
      <c r="AZ48" s="168">
        <f t="shared" si="15"/>
        <v>7000</v>
      </c>
      <c r="BA48" s="168">
        <f t="shared" si="15"/>
        <v>7000</v>
      </c>
      <c r="BB48" s="168">
        <f t="shared" si="15"/>
        <v>7000</v>
      </c>
      <c r="BC48" s="168">
        <f t="shared" si="15"/>
        <v>7000</v>
      </c>
      <c r="BD48" s="168">
        <f t="shared" si="15"/>
        <v>7000</v>
      </c>
      <c r="BE48" s="168">
        <f t="shared" si="15"/>
        <v>7000</v>
      </c>
      <c r="BF48" s="168">
        <f t="shared" si="15"/>
        <v>7000</v>
      </c>
      <c r="BG48" s="168">
        <f t="shared" si="15"/>
        <v>7000</v>
      </c>
      <c r="BH48" s="414">
        <f t="shared" si="9"/>
        <v>315000</v>
      </c>
    </row>
    <row r="49" spans="2:60" hidden="1" outlineLevel="1">
      <c r="B49" s="164" t="s">
        <v>301</v>
      </c>
      <c r="D49" s="168">
        <v>1000</v>
      </c>
      <c r="E49" s="168">
        <v>1000</v>
      </c>
      <c r="F49" s="168">
        <v>1000</v>
      </c>
      <c r="G49" s="168"/>
      <c r="H49" s="202" t="s">
        <v>284</v>
      </c>
      <c r="K49" s="53" t="str">
        <f>B187</f>
        <v xml:space="preserve">Scrubber media for a passive scrubber </v>
      </c>
      <c r="M49" s="218" t="str">
        <f t="shared" si="4"/>
        <v>Scrubber</v>
      </c>
      <c r="N49" s="164"/>
      <c r="O49" s="168">
        <f t="shared" si="12"/>
        <v>1000</v>
      </c>
      <c r="P49" s="168">
        <f t="shared" si="12"/>
        <v>1000</v>
      </c>
      <c r="Q49" s="168">
        <f t="shared" si="12"/>
        <v>1000</v>
      </c>
      <c r="R49" s="168">
        <f t="shared" si="12"/>
        <v>1000</v>
      </c>
      <c r="S49" s="168">
        <f t="shared" si="12"/>
        <v>1000</v>
      </c>
      <c r="T49" s="168">
        <f t="shared" si="12"/>
        <v>1000</v>
      </c>
      <c r="U49" s="168">
        <f t="shared" si="12"/>
        <v>1000</v>
      </c>
      <c r="V49" s="168">
        <f t="shared" si="12"/>
        <v>1000</v>
      </c>
      <c r="W49" s="168">
        <f t="shared" si="12"/>
        <v>1000</v>
      </c>
      <c r="X49" s="168">
        <f t="shared" si="12"/>
        <v>1000</v>
      </c>
      <c r="Y49" s="168">
        <f t="shared" si="13"/>
        <v>1000</v>
      </c>
      <c r="Z49" s="168">
        <f t="shared" si="13"/>
        <v>1000</v>
      </c>
      <c r="AA49" s="168">
        <f t="shared" si="13"/>
        <v>1000</v>
      </c>
      <c r="AB49" s="168">
        <f t="shared" si="13"/>
        <v>1000</v>
      </c>
      <c r="AC49" s="168">
        <f t="shared" si="13"/>
        <v>1000</v>
      </c>
      <c r="AD49" s="168">
        <f t="shared" si="13"/>
        <v>1000</v>
      </c>
      <c r="AE49" s="168">
        <f t="shared" si="13"/>
        <v>1000</v>
      </c>
      <c r="AF49" s="168">
        <f t="shared" si="13"/>
        <v>1000</v>
      </c>
      <c r="AG49" s="168">
        <f t="shared" si="13"/>
        <v>1000</v>
      </c>
      <c r="AH49" s="168">
        <f t="shared" si="13"/>
        <v>1000</v>
      </c>
      <c r="AI49" s="168">
        <f t="shared" si="14"/>
        <v>1000</v>
      </c>
      <c r="AJ49" s="168">
        <f t="shared" si="14"/>
        <v>1000</v>
      </c>
      <c r="AK49" s="168">
        <f t="shared" si="14"/>
        <v>1000</v>
      </c>
      <c r="AL49" s="168">
        <f t="shared" si="14"/>
        <v>1000</v>
      </c>
      <c r="AM49" s="168">
        <f t="shared" si="14"/>
        <v>1000</v>
      </c>
      <c r="AN49" s="168">
        <f t="shared" si="14"/>
        <v>1000</v>
      </c>
      <c r="AO49" s="168">
        <f t="shared" si="14"/>
        <v>1000</v>
      </c>
      <c r="AP49" s="168">
        <f t="shared" si="14"/>
        <v>1000</v>
      </c>
      <c r="AQ49" s="168">
        <f t="shared" si="14"/>
        <v>1000</v>
      </c>
      <c r="AR49" s="168">
        <f t="shared" si="14"/>
        <v>1000</v>
      </c>
      <c r="AS49" s="168">
        <f t="shared" si="15"/>
        <v>1000</v>
      </c>
      <c r="AT49" s="168">
        <f t="shared" si="15"/>
        <v>1000</v>
      </c>
      <c r="AU49" s="168">
        <f t="shared" si="15"/>
        <v>1000</v>
      </c>
      <c r="AV49" s="168">
        <f t="shared" si="15"/>
        <v>1000</v>
      </c>
      <c r="AW49" s="168">
        <f t="shared" si="15"/>
        <v>1000</v>
      </c>
      <c r="AX49" s="168">
        <f t="shared" si="15"/>
        <v>1000</v>
      </c>
      <c r="AY49" s="168">
        <f t="shared" si="15"/>
        <v>1000</v>
      </c>
      <c r="AZ49" s="168">
        <f t="shared" si="15"/>
        <v>1000</v>
      </c>
      <c r="BA49" s="168">
        <f t="shared" si="15"/>
        <v>1000</v>
      </c>
      <c r="BB49" s="168">
        <f t="shared" si="15"/>
        <v>1000</v>
      </c>
      <c r="BC49" s="168">
        <f t="shared" si="15"/>
        <v>1000</v>
      </c>
      <c r="BD49" s="168">
        <f t="shared" si="15"/>
        <v>1000</v>
      </c>
      <c r="BE49" s="168">
        <f t="shared" si="15"/>
        <v>1000</v>
      </c>
      <c r="BF49" s="168">
        <f t="shared" si="15"/>
        <v>1000</v>
      </c>
      <c r="BG49" s="168">
        <f t="shared" si="15"/>
        <v>1000</v>
      </c>
      <c r="BH49" s="414">
        <f t="shared" si="9"/>
        <v>45000</v>
      </c>
    </row>
    <row r="50" spans="2:60" ht="30" hidden="1" outlineLevel="1">
      <c r="B50" s="164" t="s">
        <v>302</v>
      </c>
      <c r="D50" s="168">
        <v>5000</v>
      </c>
      <c r="E50" s="168">
        <v>5000</v>
      </c>
      <c r="F50" s="168">
        <v>5000</v>
      </c>
      <c r="G50" s="168"/>
      <c r="H50" s="202" t="s">
        <v>284</v>
      </c>
      <c r="K50" s="53" t="str">
        <f>B189</f>
        <v>Analyzers, indicators, analytical instruments and misc. instrumentation</v>
      </c>
      <c r="M50" s="218" t="str">
        <f t="shared" si="4"/>
        <v>Vapour detection</v>
      </c>
      <c r="N50" s="164"/>
      <c r="O50" s="168">
        <f t="shared" si="12"/>
        <v>5000</v>
      </c>
      <c r="P50" s="168">
        <f t="shared" si="12"/>
        <v>5000</v>
      </c>
      <c r="Q50" s="168">
        <f t="shared" si="12"/>
        <v>5000</v>
      </c>
      <c r="R50" s="168">
        <f t="shared" si="12"/>
        <v>5000</v>
      </c>
      <c r="S50" s="168">
        <f t="shared" si="12"/>
        <v>5000</v>
      </c>
      <c r="T50" s="168">
        <f t="shared" si="12"/>
        <v>5000</v>
      </c>
      <c r="U50" s="168">
        <f t="shared" si="12"/>
        <v>5000</v>
      </c>
      <c r="V50" s="168">
        <f t="shared" si="12"/>
        <v>5000</v>
      </c>
      <c r="W50" s="168">
        <f t="shared" si="12"/>
        <v>5000</v>
      </c>
      <c r="X50" s="168">
        <f t="shared" si="12"/>
        <v>5000</v>
      </c>
      <c r="Y50" s="168">
        <f t="shared" si="13"/>
        <v>5000</v>
      </c>
      <c r="Z50" s="168">
        <f t="shared" si="13"/>
        <v>5000</v>
      </c>
      <c r="AA50" s="168">
        <f t="shared" si="13"/>
        <v>5000</v>
      </c>
      <c r="AB50" s="168">
        <f t="shared" si="13"/>
        <v>5000</v>
      </c>
      <c r="AC50" s="168">
        <f t="shared" si="13"/>
        <v>5000</v>
      </c>
      <c r="AD50" s="168">
        <f t="shared" si="13"/>
        <v>5000</v>
      </c>
      <c r="AE50" s="168">
        <f t="shared" si="13"/>
        <v>5000</v>
      </c>
      <c r="AF50" s="168">
        <f t="shared" si="13"/>
        <v>5000</v>
      </c>
      <c r="AG50" s="168">
        <f t="shared" si="13"/>
        <v>5000</v>
      </c>
      <c r="AH50" s="168">
        <f t="shared" si="13"/>
        <v>5000</v>
      </c>
      <c r="AI50" s="168">
        <f t="shared" si="14"/>
        <v>5000</v>
      </c>
      <c r="AJ50" s="168">
        <f t="shared" si="14"/>
        <v>5000</v>
      </c>
      <c r="AK50" s="168">
        <f t="shared" si="14"/>
        <v>5000</v>
      </c>
      <c r="AL50" s="168">
        <f t="shared" si="14"/>
        <v>5000</v>
      </c>
      <c r="AM50" s="168">
        <f t="shared" si="14"/>
        <v>5000</v>
      </c>
      <c r="AN50" s="168">
        <f t="shared" si="14"/>
        <v>5000</v>
      </c>
      <c r="AO50" s="168">
        <f t="shared" si="14"/>
        <v>5000</v>
      </c>
      <c r="AP50" s="168">
        <f t="shared" si="14"/>
        <v>5000</v>
      </c>
      <c r="AQ50" s="168">
        <f t="shared" si="14"/>
        <v>5000</v>
      </c>
      <c r="AR50" s="168">
        <f t="shared" si="14"/>
        <v>5000</v>
      </c>
      <c r="AS50" s="168">
        <f t="shared" si="15"/>
        <v>5000</v>
      </c>
      <c r="AT50" s="168">
        <f t="shared" si="15"/>
        <v>5000</v>
      </c>
      <c r="AU50" s="168">
        <f t="shared" si="15"/>
        <v>5000</v>
      </c>
      <c r="AV50" s="168">
        <f t="shared" si="15"/>
        <v>5000</v>
      </c>
      <c r="AW50" s="168">
        <f t="shared" si="15"/>
        <v>5000</v>
      </c>
      <c r="AX50" s="168">
        <f t="shared" si="15"/>
        <v>5000</v>
      </c>
      <c r="AY50" s="168">
        <f t="shared" si="15"/>
        <v>5000</v>
      </c>
      <c r="AZ50" s="168">
        <f t="shared" si="15"/>
        <v>5000</v>
      </c>
      <c r="BA50" s="168">
        <f t="shared" si="15"/>
        <v>5000</v>
      </c>
      <c r="BB50" s="168">
        <f t="shared" si="15"/>
        <v>5000</v>
      </c>
      <c r="BC50" s="168">
        <f t="shared" si="15"/>
        <v>5000</v>
      </c>
      <c r="BD50" s="168">
        <f t="shared" si="15"/>
        <v>5000</v>
      </c>
      <c r="BE50" s="168">
        <f t="shared" si="15"/>
        <v>5000</v>
      </c>
      <c r="BF50" s="168">
        <f t="shared" si="15"/>
        <v>5000</v>
      </c>
      <c r="BG50" s="168">
        <f t="shared" si="15"/>
        <v>5000</v>
      </c>
      <c r="BH50" s="414">
        <f t="shared" si="9"/>
        <v>225000</v>
      </c>
    </row>
    <row r="51" spans="2:60" ht="30" hidden="1" outlineLevel="1">
      <c r="B51" s="164" t="s">
        <v>303</v>
      </c>
      <c r="D51" s="55">
        <v>5000</v>
      </c>
      <c r="E51" s="55">
        <f>D51</f>
        <v>5000</v>
      </c>
      <c r="F51" s="55">
        <f>E51</f>
        <v>5000</v>
      </c>
      <c r="G51" s="55"/>
      <c r="H51" s="157" t="s">
        <v>304</v>
      </c>
      <c r="K51" s="53" t="str">
        <f>B189</f>
        <v>Analyzers, indicators, analytical instruments and misc. instrumentation</v>
      </c>
      <c r="M51" s="218" t="str">
        <f t="shared" si="4"/>
        <v xml:space="preserve">Chemical Delivery Panel </v>
      </c>
      <c r="N51" s="164"/>
      <c r="O51" s="168">
        <f t="shared" si="12"/>
        <v>5000</v>
      </c>
      <c r="P51" s="168">
        <f t="shared" si="12"/>
        <v>5000</v>
      </c>
      <c r="Q51" s="168">
        <f t="shared" si="12"/>
        <v>5000</v>
      </c>
      <c r="R51" s="168">
        <f t="shared" si="12"/>
        <v>5000</v>
      </c>
      <c r="S51" s="168">
        <f t="shared" si="12"/>
        <v>5000</v>
      </c>
      <c r="T51" s="168">
        <f t="shared" si="12"/>
        <v>5000</v>
      </c>
      <c r="U51" s="168">
        <f t="shared" si="12"/>
        <v>5000</v>
      </c>
      <c r="V51" s="168">
        <f t="shared" si="12"/>
        <v>5000</v>
      </c>
      <c r="W51" s="168">
        <f t="shared" si="12"/>
        <v>5000</v>
      </c>
      <c r="X51" s="168">
        <f t="shared" si="12"/>
        <v>5000</v>
      </c>
      <c r="Y51" s="168">
        <f t="shared" si="13"/>
        <v>5000</v>
      </c>
      <c r="Z51" s="168">
        <f t="shared" si="13"/>
        <v>5000</v>
      </c>
      <c r="AA51" s="168">
        <f t="shared" si="13"/>
        <v>5000</v>
      </c>
      <c r="AB51" s="168">
        <f t="shared" si="13"/>
        <v>5000</v>
      </c>
      <c r="AC51" s="168">
        <f t="shared" si="13"/>
        <v>5000</v>
      </c>
      <c r="AD51" s="168">
        <f t="shared" si="13"/>
        <v>5000</v>
      </c>
      <c r="AE51" s="168">
        <f t="shared" si="13"/>
        <v>5000</v>
      </c>
      <c r="AF51" s="168">
        <f t="shared" si="13"/>
        <v>5000</v>
      </c>
      <c r="AG51" s="168">
        <f t="shared" si="13"/>
        <v>5000</v>
      </c>
      <c r="AH51" s="168">
        <f t="shared" si="13"/>
        <v>5000</v>
      </c>
      <c r="AI51" s="168">
        <f t="shared" si="14"/>
        <v>5000</v>
      </c>
      <c r="AJ51" s="168">
        <f t="shared" si="14"/>
        <v>5000</v>
      </c>
      <c r="AK51" s="168">
        <f t="shared" si="14"/>
        <v>5000</v>
      </c>
      <c r="AL51" s="168">
        <f t="shared" si="14"/>
        <v>5000</v>
      </c>
      <c r="AM51" s="168">
        <f t="shared" si="14"/>
        <v>5000</v>
      </c>
      <c r="AN51" s="168">
        <f t="shared" si="14"/>
        <v>5000</v>
      </c>
      <c r="AO51" s="168">
        <f t="shared" si="14"/>
        <v>5000</v>
      </c>
      <c r="AP51" s="168">
        <f t="shared" si="14"/>
        <v>5000</v>
      </c>
      <c r="AQ51" s="168">
        <f t="shared" si="14"/>
        <v>5000</v>
      </c>
      <c r="AR51" s="168">
        <f t="shared" si="14"/>
        <v>5000</v>
      </c>
      <c r="AS51" s="168">
        <f t="shared" si="15"/>
        <v>5000</v>
      </c>
      <c r="AT51" s="168">
        <f t="shared" si="15"/>
        <v>5000</v>
      </c>
      <c r="AU51" s="168">
        <f t="shared" si="15"/>
        <v>5000</v>
      </c>
      <c r="AV51" s="168">
        <f t="shared" si="15"/>
        <v>5000</v>
      </c>
      <c r="AW51" s="168">
        <f t="shared" si="15"/>
        <v>5000</v>
      </c>
      <c r="AX51" s="168">
        <f t="shared" si="15"/>
        <v>5000</v>
      </c>
      <c r="AY51" s="168">
        <f t="shared" si="15"/>
        <v>5000</v>
      </c>
      <c r="AZ51" s="168">
        <f t="shared" si="15"/>
        <v>5000</v>
      </c>
      <c r="BA51" s="168">
        <f t="shared" si="15"/>
        <v>5000</v>
      </c>
      <c r="BB51" s="168">
        <f t="shared" si="15"/>
        <v>5000</v>
      </c>
      <c r="BC51" s="168">
        <f t="shared" si="15"/>
        <v>5000</v>
      </c>
      <c r="BD51" s="168">
        <f t="shared" si="15"/>
        <v>5000</v>
      </c>
      <c r="BE51" s="168">
        <f t="shared" si="15"/>
        <v>5000</v>
      </c>
      <c r="BF51" s="168">
        <f t="shared" si="15"/>
        <v>5000</v>
      </c>
      <c r="BG51" s="168">
        <f t="shared" si="15"/>
        <v>5000</v>
      </c>
      <c r="BH51" s="414">
        <f t="shared" si="9"/>
        <v>225000</v>
      </c>
    </row>
    <row r="52" spans="2:60" ht="30" hidden="1" outlineLevel="1">
      <c r="B52" s="164" t="s">
        <v>305</v>
      </c>
      <c r="D52" s="55">
        <f>'Vendor Quotes'!E49</f>
        <v>17500</v>
      </c>
      <c r="E52" s="55">
        <f>'Vendor Quotes'!E49</f>
        <v>17500</v>
      </c>
      <c r="F52" s="55">
        <f>'Vendor Quotes'!G49</f>
        <v>22500</v>
      </c>
      <c r="G52" s="55"/>
      <c r="H52" s="157" t="s">
        <v>275</v>
      </c>
      <c r="K52" s="53" t="str">
        <f>B189</f>
        <v>Analyzers, indicators, analytical instruments and misc. instrumentation</v>
      </c>
      <c r="M52" s="218" t="str">
        <f t="shared" si="4"/>
        <v>Flow Meter</v>
      </c>
      <c r="N52" s="164"/>
      <c r="O52" s="55">
        <f t="shared" si="12"/>
        <v>17500</v>
      </c>
      <c r="P52" s="55">
        <f t="shared" si="12"/>
        <v>17500</v>
      </c>
      <c r="Q52" s="55">
        <f t="shared" si="12"/>
        <v>17500</v>
      </c>
      <c r="R52" s="55">
        <f t="shared" si="12"/>
        <v>22500</v>
      </c>
      <c r="S52" s="55">
        <f t="shared" si="12"/>
        <v>17500</v>
      </c>
      <c r="T52" s="55">
        <f t="shared" si="12"/>
        <v>22500</v>
      </c>
      <c r="U52" s="55">
        <f t="shared" si="12"/>
        <v>17500</v>
      </c>
      <c r="V52" s="55">
        <f t="shared" si="12"/>
        <v>17500</v>
      </c>
      <c r="W52" s="55">
        <f t="shared" si="12"/>
        <v>17500</v>
      </c>
      <c r="X52" s="55">
        <f t="shared" si="12"/>
        <v>17500</v>
      </c>
      <c r="Y52" s="55">
        <f t="shared" si="13"/>
        <v>17500</v>
      </c>
      <c r="Z52" s="55">
        <f t="shared" si="13"/>
        <v>17500</v>
      </c>
      <c r="AA52" s="55">
        <f t="shared" si="13"/>
        <v>17500</v>
      </c>
      <c r="AB52" s="55">
        <f t="shared" si="13"/>
        <v>17500</v>
      </c>
      <c r="AC52" s="55">
        <f t="shared" si="13"/>
        <v>17500</v>
      </c>
      <c r="AD52" s="55">
        <f t="shared" si="13"/>
        <v>17500</v>
      </c>
      <c r="AE52" s="55">
        <f t="shared" si="13"/>
        <v>17500</v>
      </c>
      <c r="AF52" s="55">
        <f t="shared" si="13"/>
        <v>22500</v>
      </c>
      <c r="AG52" s="55">
        <f t="shared" si="13"/>
        <v>22500</v>
      </c>
      <c r="AH52" s="55">
        <f t="shared" si="13"/>
        <v>17500</v>
      </c>
      <c r="AI52" s="55">
        <f t="shared" si="14"/>
        <v>22500</v>
      </c>
      <c r="AJ52" s="55">
        <f t="shared" si="14"/>
        <v>22500</v>
      </c>
      <c r="AK52" s="55">
        <f t="shared" si="14"/>
        <v>17500</v>
      </c>
      <c r="AL52" s="55">
        <f t="shared" si="14"/>
        <v>17500</v>
      </c>
      <c r="AM52" s="55">
        <f t="shared" si="14"/>
        <v>17500</v>
      </c>
      <c r="AN52" s="55">
        <f t="shared" si="14"/>
        <v>17500</v>
      </c>
      <c r="AO52" s="55">
        <f t="shared" si="14"/>
        <v>17500</v>
      </c>
      <c r="AP52" s="55">
        <f t="shared" si="14"/>
        <v>17500</v>
      </c>
      <c r="AQ52" s="55">
        <f t="shared" si="14"/>
        <v>17500</v>
      </c>
      <c r="AR52" s="55">
        <f t="shared" si="14"/>
        <v>17500</v>
      </c>
      <c r="AS52" s="55">
        <f t="shared" si="15"/>
        <v>17500</v>
      </c>
      <c r="AT52" s="55">
        <f t="shared" si="15"/>
        <v>17500</v>
      </c>
      <c r="AU52" s="55">
        <f t="shared" si="15"/>
        <v>17500</v>
      </c>
      <c r="AV52" s="55">
        <f t="shared" si="15"/>
        <v>17500</v>
      </c>
      <c r="AW52" s="55">
        <f t="shared" si="15"/>
        <v>17500</v>
      </c>
      <c r="AX52" s="55">
        <f t="shared" si="15"/>
        <v>17500</v>
      </c>
      <c r="AY52" s="55">
        <f t="shared" si="15"/>
        <v>17500</v>
      </c>
      <c r="AZ52" s="55">
        <f t="shared" si="15"/>
        <v>22500</v>
      </c>
      <c r="BA52" s="55">
        <f t="shared" si="15"/>
        <v>17500</v>
      </c>
      <c r="BB52" s="55">
        <f t="shared" si="15"/>
        <v>17500</v>
      </c>
      <c r="BC52" s="55">
        <f t="shared" si="15"/>
        <v>17500</v>
      </c>
      <c r="BD52" s="55">
        <f t="shared" si="15"/>
        <v>22500</v>
      </c>
      <c r="BE52" s="55">
        <f t="shared" si="15"/>
        <v>17500</v>
      </c>
      <c r="BF52" s="55">
        <f t="shared" si="15"/>
        <v>17500</v>
      </c>
      <c r="BG52" s="55">
        <f t="shared" si="15"/>
        <v>17500</v>
      </c>
      <c r="BH52" s="413">
        <f t="shared" si="9"/>
        <v>827500</v>
      </c>
    </row>
    <row r="53" spans="2:60" hidden="1" outlineLevel="1">
      <c r="B53" s="197" t="s">
        <v>306</v>
      </c>
      <c r="C53" s="196" t="s">
        <v>307</v>
      </c>
      <c r="D53" s="198">
        <v>3300</v>
      </c>
      <c r="E53" s="198">
        <f>D53</f>
        <v>3300</v>
      </c>
      <c r="F53" s="198">
        <f>E53</f>
        <v>3300</v>
      </c>
      <c r="G53" s="198"/>
      <c r="H53" s="215" t="s">
        <v>304</v>
      </c>
      <c r="I53" s="224"/>
      <c r="K53" s="53" t="str">
        <f>B185</f>
        <v xml:space="preserve">Appurtenances of the system (e.g. piping, tanks) </v>
      </c>
      <c r="M53" s="391" t="str">
        <f t="shared" si="4"/>
        <v>Mixer</v>
      </c>
      <c r="N53" s="197" t="str">
        <f>C53</f>
        <v>include if required</v>
      </c>
      <c r="O53" s="198">
        <f t="shared" ref="O53:BG53" si="16">IF(O9="No",0,INDEX($D53:$F53,MATCH(O$8,$D$5:$F$5,0)))</f>
        <v>3300</v>
      </c>
      <c r="P53" s="198">
        <f t="shared" si="16"/>
        <v>3300</v>
      </c>
      <c r="Q53" s="198">
        <f t="shared" si="16"/>
        <v>0</v>
      </c>
      <c r="R53" s="198">
        <f t="shared" si="16"/>
        <v>0</v>
      </c>
      <c r="S53" s="198">
        <f t="shared" si="16"/>
        <v>0</v>
      </c>
      <c r="T53" s="198">
        <f t="shared" si="16"/>
        <v>3300</v>
      </c>
      <c r="U53" s="198">
        <f t="shared" si="16"/>
        <v>0</v>
      </c>
      <c r="V53" s="198">
        <f t="shared" si="16"/>
        <v>3300</v>
      </c>
      <c r="W53" s="198">
        <f t="shared" si="16"/>
        <v>0</v>
      </c>
      <c r="X53" s="198">
        <f t="shared" si="16"/>
        <v>3300</v>
      </c>
      <c r="Y53" s="198">
        <f t="shared" si="16"/>
        <v>0</v>
      </c>
      <c r="Z53" s="198">
        <f t="shared" si="16"/>
        <v>3300</v>
      </c>
      <c r="AA53" s="198">
        <f t="shared" si="16"/>
        <v>3300</v>
      </c>
      <c r="AB53" s="198">
        <f t="shared" si="16"/>
        <v>0</v>
      </c>
      <c r="AC53" s="198">
        <f t="shared" si="16"/>
        <v>3300</v>
      </c>
      <c r="AD53" s="198">
        <f t="shared" si="16"/>
        <v>3300</v>
      </c>
      <c r="AE53" s="198">
        <f t="shared" si="16"/>
        <v>0</v>
      </c>
      <c r="AF53" s="198">
        <f t="shared" si="16"/>
        <v>3300</v>
      </c>
      <c r="AG53" s="198">
        <f t="shared" si="16"/>
        <v>0</v>
      </c>
      <c r="AH53" s="198">
        <f t="shared" si="16"/>
        <v>3300</v>
      </c>
      <c r="AI53" s="198">
        <f t="shared" si="16"/>
        <v>0</v>
      </c>
      <c r="AJ53" s="198">
        <f t="shared" si="16"/>
        <v>0</v>
      </c>
      <c r="AK53" s="198">
        <f t="shared" si="16"/>
        <v>3300</v>
      </c>
      <c r="AL53" s="198">
        <f t="shared" si="16"/>
        <v>3300</v>
      </c>
      <c r="AM53" s="198">
        <f t="shared" si="16"/>
        <v>0</v>
      </c>
      <c r="AN53" s="198">
        <f t="shared" si="16"/>
        <v>0</v>
      </c>
      <c r="AO53" s="198">
        <f t="shared" si="16"/>
        <v>0</v>
      </c>
      <c r="AP53" s="198">
        <f t="shared" si="16"/>
        <v>3300</v>
      </c>
      <c r="AQ53" s="198">
        <f t="shared" si="16"/>
        <v>3300</v>
      </c>
      <c r="AR53" s="198">
        <f t="shared" si="16"/>
        <v>3300</v>
      </c>
      <c r="AS53" s="198">
        <f t="shared" si="16"/>
        <v>3300</v>
      </c>
      <c r="AT53" s="198">
        <f t="shared" si="16"/>
        <v>3300</v>
      </c>
      <c r="AU53" s="198">
        <f t="shared" si="16"/>
        <v>0</v>
      </c>
      <c r="AV53" s="198">
        <f t="shared" si="16"/>
        <v>0</v>
      </c>
      <c r="AW53" s="198">
        <f t="shared" si="16"/>
        <v>0</v>
      </c>
      <c r="AX53" s="198">
        <f t="shared" si="16"/>
        <v>0</v>
      </c>
      <c r="AY53" s="198">
        <f t="shared" si="16"/>
        <v>3300</v>
      </c>
      <c r="AZ53" s="198">
        <f t="shared" si="16"/>
        <v>3300</v>
      </c>
      <c r="BA53" s="198">
        <f t="shared" si="16"/>
        <v>3300</v>
      </c>
      <c r="BB53" s="198">
        <f t="shared" si="16"/>
        <v>0</v>
      </c>
      <c r="BC53" s="198">
        <f t="shared" si="16"/>
        <v>0</v>
      </c>
      <c r="BD53" s="198">
        <f t="shared" si="16"/>
        <v>0</v>
      </c>
      <c r="BE53" s="198">
        <f t="shared" si="16"/>
        <v>0</v>
      </c>
      <c r="BF53" s="198">
        <f t="shared" si="16"/>
        <v>0</v>
      </c>
      <c r="BG53" s="198">
        <f t="shared" si="16"/>
        <v>0</v>
      </c>
      <c r="BH53" s="415">
        <f t="shared" si="9"/>
        <v>69300</v>
      </c>
    </row>
    <row r="54" spans="2:60" hidden="1" outlineLevel="1">
      <c r="B54" s="164" t="s">
        <v>308</v>
      </c>
      <c r="D54" s="170">
        <v>4000</v>
      </c>
      <c r="E54" s="170">
        <f>D54</f>
        <v>4000</v>
      </c>
      <c r="F54" s="170">
        <f>E54</f>
        <v>4000</v>
      </c>
      <c r="G54" s="170"/>
      <c r="H54" s="171"/>
      <c r="K54" s="53" t="str">
        <f>B186</f>
        <v xml:space="preserve">Health and safety equipment </v>
      </c>
      <c r="M54" s="218" t="str">
        <f t="shared" si="4"/>
        <v xml:space="preserve">Personal Protective Equipment </v>
      </c>
      <c r="N54" s="164"/>
      <c r="O54" s="170">
        <f t="shared" ref="O54:X56" si="17">INDEX($D54:$F54,MATCH(O$8,$D$5:$F$5,0))</f>
        <v>4000</v>
      </c>
      <c r="P54" s="170">
        <f t="shared" si="17"/>
        <v>4000</v>
      </c>
      <c r="Q54" s="170">
        <f t="shared" si="17"/>
        <v>4000</v>
      </c>
      <c r="R54" s="170">
        <f t="shared" si="17"/>
        <v>4000</v>
      </c>
      <c r="S54" s="170">
        <f t="shared" si="17"/>
        <v>4000</v>
      </c>
      <c r="T54" s="170">
        <f t="shared" si="17"/>
        <v>4000</v>
      </c>
      <c r="U54" s="170">
        <f t="shared" si="17"/>
        <v>4000</v>
      </c>
      <c r="V54" s="170">
        <f t="shared" si="17"/>
        <v>4000</v>
      </c>
      <c r="W54" s="170">
        <f t="shared" si="17"/>
        <v>4000</v>
      </c>
      <c r="X54" s="170">
        <f t="shared" si="17"/>
        <v>4000</v>
      </c>
      <c r="Y54" s="170">
        <f t="shared" ref="Y54:AH56" si="18">INDEX($D54:$F54,MATCH(Y$8,$D$5:$F$5,0))</f>
        <v>4000</v>
      </c>
      <c r="Z54" s="170">
        <f t="shared" si="18"/>
        <v>4000</v>
      </c>
      <c r="AA54" s="170">
        <f t="shared" si="18"/>
        <v>4000</v>
      </c>
      <c r="AB54" s="170">
        <f t="shared" si="18"/>
        <v>4000</v>
      </c>
      <c r="AC54" s="170">
        <f t="shared" si="18"/>
        <v>4000</v>
      </c>
      <c r="AD54" s="170">
        <f t="shared" si="18"/>
        <v>4000</v>
      </c>
      <c r="AE54" s="170">
        <f t="shared" si="18"/>
        <v>4000</v>
      </c>
      <c r="AF54" s="170">
        <f t="shared" si="18"/>
        <v>4000</v>
      </c>
      <c r="AG54" s="170">
        <f t="shared" si="18"/>
        <v>4000</v>
      </c>
      <c r="AH54" s="170">
        <f t="shared" si="18"/>
        <v>4000</v>
      </c>
      <c r="AI54" s="170">
        <f t="shared" ref="AI54:AR56" si="19">INDEX($D54:$F54,MATCH(AI$8,$D$5:$F$5,0))</f>
        <v>4000</v>
      </c>
      <c r="AJ54" s="170">
        <f t="shared" si="19"/>
        <v>4000</v>
      </c>
      <c r="AK54" s="170">
        <f t="shared" si="19"/>
        <v>4000</v>
      </c>
      <c r="AL54" s="170">
        <f t="shared" si="19"/>
        <v>4000</v>
      </c>
      <c r="AM54" s="170">
        <f t="shared" si="19"/>
        <v>4000</v>
      </c>
      <c r="AN54" s="170">
        <f t="shared" si="19"/>
        <v>4000</v>
      </c>
      <c r="AO54" s="170">
        <f t="shared" si="19"/>
        <v>4000</v>
      </c>
      <c r="AP54" s="170">
        <f t="shared" si="19"/>
        <v>4000</v>
      </c>
      <c r="AQ54" s="170">
        <f t="shared" si="19"/>
        <v>4000</v>
      </c>
      <c r="AR54" s="170">
        <f t="shared" si="19"/>
        <v>4000</v>
      </c>
      <c r="AS54" s="170">
        <f t="shared" ref="AS54:BG56" si="20">INDEX($D54:$F54,MATCH(AS$8,$D$5:$F$5,0))</f>
        <v>4000</v>
      </c>
      <c r="AT54" s="170">
        <f t="shared" si="20"/>
        <v>4000</v>
      </c>
      <c r="AU54" s="170">
        <f t="shared" si="20"/>
        <v>4000</v>
      </c>
      <c r="AV54" s="170">
        <f t="shared" si="20"/>
        <v>4000</v>
      </c>
      <c r="AW54" s="170">
        <f t="shared" si="20"/>
        <v>4000</v>
      </c>
      <c r="AX54" s="170">
        <f t="shared" si="20"/>
        <v>4000</v>
      </c>
      <c r="AY54" s="170">
        <f t="shared" si="20"/>
        <v>4000</v>
      </c>
      <c r="AZ54" s="170">
        <f t="shared" si="20"/>
        <v>4000</v>
      </c>
      <c r="BA54" s="170">
        <f t="shared" si="20"/>
        <v>4000</v>
      </c>
      <c r="BB54" s="170">
        <f t="shared" si="20"/>
        <v>4000</v>
      </c>
      <c r="BC54" s="170">
        <f t="shared" si="20"/>
        <v>4000</v>
      </c>
      <c r="BD54" s="170">
        <f t="shared" si="20"/>
        <v>4000</v>
      </c>
      <c r="BE54" s="170">
        <f t="shared" si="20"/>
        <v>4000</v>
      </c>
      <c r="BF54" s="170">
        <f t="shared" si="20"/>
        <v>4000</v>
      </c>
      <c r="BG54" s="170">
        <f t="shared" si="20"/>
        <v>4000</v>
      </c>
      <c r="BH54" s="413">
        <f t="shared" si="9"/>
        <v>180000</v>
      </c>
    </row>
    <row r="55" spans="2:60" hidden="1" outlineLevel="1">
      <c r="B55" s="164" t="s">
        <v>309</v>
      </c>
      <c r="C55" s="160">
        <v>0.1</v>
      </c>
      <c r="D55" s="170">
        <f>ROUNDUP(SUM(D34:D54)*$C55,-2)</f>
        <v>14100</v>
      </c>
      <c r="E55" s="170">
        <f t="shared" ref="E55:F55" si="21">ROUNDUP(SUM(E34:E54)*$C55,-2)</f>
        <v>16000</v>
      </c>
      <c r="F55" s="170">
        <f t="shared" si="21"/>
        <v>20300</v>
      </c>
      <c r="G55" s="170"/>
      <c r="H55" s="171" t="s">
        <v>304</v>
      </c>
      <c r="I55" s="53" t="s">
        <v>310</v>
      </c>
      <c r="K55" s="53" t="s">
        <v>311</v>
      </c>
      <c r="M55" s="218" t="str">
        <f>B55</f>
        <v>Critical Spares</v>
      </c>
      <c r="N55" s="164"/>
      <c r="O55" s="170">
        <f t="shared" si="17"/>
        <v>16000</v>
      </c>
      <c r="P55" s="170">
        <f t="shared" si="17"/>
        <v>16000</v>
      </c>
      <c r="Q55" s="170">
        <f t="shared" si="17"/>
        <v>16000</v>
      </c>
      <c r="R55" s="170">
        <f t="shared" si="17"/>
        <v>20300</v>
      </c>
      <c r="S55" s="170">
        <f t="shared" si="17"/>
        <v>16000</v>
      </c>
      <c r="T55" s="170">
        <f t="shared" si="17"/>
        <v>20300</v>
      </c>
      <c r="U55" s="170">
        <f t="shared" si="17"/>
        <v>16000</v>
      </c>
      <c r="V55" s="170">
        <f t="shared" si="17"/>
        <v>16000</v>
      </c>
      <c r="W55" s="170">
        <f t="shared" si="17"/>
        <v>16000</v>
      </c>
      <c r="X55" s="170">
        <f t="shared" si="17"/>
        <v>16000</v>
      </c>
      <c r="Y55" s="170">
        <f t="shared" si="18"/>
        <v>16000</v>
      </c>
      <c r="Z55" s="170">
        <f t="shared" si="18"/>
        <v>14100</v>
      </c>
      <c r="AA55" s="170">
        <f t="shared" si="18"/>
        <v>16000</v>
      </c>
      <c r="AB55" s="170">
        <f t="shared" si="18"/>
        <v>16000</v>
      </c>
      <c r="AC55" s="170">
        <f t="shared" si="18"/>
        <v>16000</v>
      </c>
      <c r="AD55" s="170">
        <f t="shared" si="18"/>
        <v>16000</v>
      </c>
      <c r="AE55" s="170">
        <f t="shared" si="18"/>
        <v>14100</v>
      </c>
      <c r="AF55" s="170">
        <f t="shared" si="18"/>
        <v>20300</v>
      </c>
      <c r="AG55" s="170">
        <f t="shared" si="18"/>
        <v>20300</v>
      </c>
      <c r="AH55" s="170">
        <f t="shared" si="18"/>
        <v>16000</v>
      </c>
      <c r="AI55" s="170">
        <f t="shared" si="19"/>
        <v>20300</v>
      </c>
      <c r="AJ55" s="170">
        <f t="shared" si="19"/>
        <v>20300</v>
      </c>
      <c r="AK55" s="170">
        <f t="shared" si="19"/>
        <v>14100</v>
      </c>
      <c r="AL55" s="170">
        <f t="shared" si="19"/>
        <v>14100</v>
      </c>
      <c r="AM55" s="170">
        <f t="shared" si="19"/>
        <v>14100</v>
      </c>
      <c r="AN55" s="170">
        <f t="shared" si="19"/>
        <v>16000</v>
      </c>
      <c r="AO55" s="170">
        <f t="shared" si="19"/>
        <v>14100</v>
      </c>
      <c r="AP55" s="170">
        <f t="shared" si="19"/>
        <v>16000</v>
      </c>
      <c r="AQ55" s="170">
        <f t="shared" si="19"/>
        <v>16000</v>
      </c>
      <c r="AR55" s="170">
        <f t="shared" si="19"/>
        <v>16000</v>
      </c>
      <c r="AS55" s="170">
        <f t="shared" si="20"/>
        <v>16000</v>
      </c>
      <c r="AT55" s="170">
        <f t="shared" si="20"/>
        <v>16000</v>
      </c>
      <c r="AU55" s="170">
        <f t="shared" si="20"/>
        <v>16000</v>
      </c>
      <c r="AV55" s="170">
        <f t="shared" si="20"/>
        <v>16000</v>
      </c>
      <c r="AW55" s="170">
        <f t="shared" si="20"/>
        <v>14100</v>
      </c>
      <c r="AX55" s="170">
        <f t="shared" si="20"/>
        <v>16000</v>
      </c>
      <c r="AY55" s="170">
        <f t="shared" si="20"/>
        <v>14100</v>
      </c>
      <c r="AZ55" s="170">
        <f t="shared" si="20"/>
        <v>20300</v>
      </c>
      <c r="BA55" s="170">
        <f t="shared" si="20"/>
        <v>16000</v>
      </c>
      <c r="BB55" s="170">
        <f t="shared" si="20"/>
        <v>16000</v>
      </c>
      <c r="BC55" s="170">
        <f t="shared" si="20"/>
        <v>16000</v>
      </c>
      <c r="BD55" s="170">
        <f t="shared" si="20"/>
        <v>20300</v>
      </c>
      <c r="BE55" s="170">
        <f t="shared" si="20"/>
        <v>14100</v>
      </c>
      <c r="BF55" s="170">
        <f t="shared" si="20"/>
        <v>14100</v>
      </c>
      <c r="BG55" s="170">
        <f t="shared" si="20"/>
        <v>14100</v>
      </c>
      <c r="BH55" s="413">
        <f t="shared" si="9"/>
        <v>733500</v>
      </c>
    </row>
    <row r="56" spans="2:60" hidden="1" outlineLevel="1">
      <c r="B56" s="326" t="s">
        <v>312</v>
      </c>
      <c r="C56" s="323">
        <v>0.3</v>
      </c>
      <c r="D56" s="340">
        <f>ROUNDUP($C$56*SUM(D34:D53),-2)</f>
        <v>41100</v>
      </c>
      <c r="E56" s="340">
        <f>ROUNDUP($C$56*SUM(E34:E53),-2)</f>
        <v>46800</v>
      </c>
      <c r="F56" s="340">
        <f>ROUNDUP($C$56*SUM(F34:F53),-2)</f>
        <v>59500</v>
      </c>
      <c r="G56" s="340"/>
      <c r="H56" s="453" t="s">
        <v>304</v>
      </c>
      <c r="I56" s="339" t="s">
        <v>313</v>
      </c>
      <c r="J56" s="172"/>
      <c r="K56" s="176" t="s">
        <v>311</v>
      </c>
      <c r="M56" s="392" t="str">
        <f>B56</f>
        <v>Installation</v>
      </c>
      <c r="N56" s="177"/>
      <c r="O56" s="174">
        <f t="shared" si="17"/>
        <v>46800</v>
      </c>
      <c r="P56" s="174">
        <f t="shared" si="17"/>
        <v>46800</v>
      </c>
      <c r="Q56" s="174">
        <f t="shared" si="17"/>
        <v>46800</v>
      </c>
      <c r="R56" s="174">
        <f t="shared" si="17"/>
        <v>59500</v>
      </c>
      <c r="S56" s="174">
        <f t="shared" si="17"/>
        <v>46800</v>
      </c>
      <c r="T56" s="174">
        <f t="shared" si="17"/>
        <v>59500</v>
      </c>
      <c r="U56" s="174">
        <f t="shared" si="17"/>
        <v>46800</v>
      </c>
      <c r="V56" s="174">
        <f t="shared" si="17"/>
        <v>46800</v>
      </c>
      <c r="W56" s="174">
        <f t="shared" si="17"/>
        <v>46800</v>
      </c>
      <c r="X56" s="174">
        <f t="shared" si="17"/>
        <v>46800</v>
      </c>
      <c r="Y56" s="174">
        <f t="shared" si="18"/>
        <v>46800</v>
      </c>
      <c r="Z56" s="174">
        <f t="shared" si="18"/>
        <v>41100</v>
      </c>
      <c r="AA56" s="174">
        <f t="shared" si="18"/>
        <v>46800</v>
      </c>
      <c r="AB56" s="174">
        <f t="shared" si="18"/>
        <v>46800</v>
      </c>
      <c r="AC56" s="174">
        <f t="shared" si="18"/>
        <v>46800</v>
      </c>
      <c r="AD56" s="174">
        <f t="shared" si="18"/>
        <v>46800</v>
      </c>
      <c r="AE56" s="174">
        <f t="shared" si="18"/>
        <v>41100</v>
      </c>
      <c r="AF56" s="174">
        <f t="shared" si="18"/>
        <v>59500</v>
      </c>
      <c r="AG56" s="174">
        <f t="shared" si="18"/>
        <v>59500</v>
      </c>
      <c r="AH56" s="174">
        <f t="shared" si="18"/>
        <v>46800</v>
      </c>
      <c r="AI56" s="174">
        <f t="shared" si="19"/>
        <v>59500</v>
      </c>
      <c r="AJ56" s="174">
        <f t="shared" si="19"/>
        <v>59500</v>
      </c>
      <c r="AK56" s="174">
        <f t="shared" si="19"/>
        <v>41100</v>
      </c>
      <c r="AL56" s="174">
        <f t="shared" si="19"/>
        <v>41100</v>
      </c>
      <c r="AM56" s="174">
        <f t="shared" si="19"/>
        <v>41100</v>
      </c>
      <c r="AN56" s="174">
        <f t="shared" si="19"/>
        <v>46800</v>
      </c>
      <c r="AO56" s="174">
        <f t="shared" si="19"/>
        <v>41100</v>
      </c>
      <c r="AP56" s="174">
        <f t="shared" si="19"/>
        <v>46800</v>
      </c>
      <c r="AQ56" s="174">
        <f t="shared" si="19"/>
        <v>46800</v>
      </c>
      <c r="AR56" s="174">
        <f t="shared" si="19"/>
        <v>46800</v>
      </c>
      <c r="AS56" s="174">
        <f t="shared" si="20"/>
        <v>46800</v>
      </c>
      <c r="AT56" s="174">
        <f t="shared" si="20"/>
        <v>46800</v>
      </c>
      <c r="AU56" s="174">
        <f t="shared" si="20"/>
        <v>46800</v>
      </c>
      <c r="AV56" s="174">
        <f t="shared" si="20"/>
        <v>46800</v>
      </c>
      <c r="AW56" s="174">
        <f t="shared" si="20"/>
        <v>41100</v>
      </c>
      <c r="AX56" s="174">
        <f t="shared" si="20"/>
        <v>46800</v>
      </c>
      <c r="AY56" s="174">
        <f t="shared" si="20"/>
        <v>41100</v>
      </c>
      <c r="AZ56" s="174">
        <f t="shared" si="20"/>
        <v>59500</v>
      </c>
      <c r="BA56" s="174">
        <f t="shared" si="20"/>
        <v>46800</v>
      </c>
      <c r="BB56" s="174">
        <f t="shared" si="20"/>
        <v>46800</v>
      </c>
      <c r="BC56" s="174">
        <f t="shared" si="20"/>
        <v>46800</v>
      </c>
      <c r="BD56" s="174">
        <f t="shared" si="20"/>
        <v>59500</v>
      </c>
      <c r="BE56" s="174">
        <f t="shared" si="20"/>
        <v>41100</v>
      </c>
      <c r="BF56" s="174">
        <f t="shared" si="20"/>
        <v>41100</v>
      </c>
      <c r="BG56" s="174">
        <f t="shared" si="20"/>
        <v>41100</v>
      </c>
      <c r="BH56" s="416">
        <f t="shared" si="9"/>
        <v>2144900</v>
      </c>
    </row>
    <row r="57" spans="2:60" collapsed="1">
      <c r="B57" s="56" t="s">
        <v>314</v>
      </c>
      <c r="C57" s="56"/>
      <c r="D57" s="161">
        <f>ROUNDUP(SUM(D34:D56),-3)</f>
        <v>196000</v>
      </c>
      <c r="E57" s="161">
        <f>ROUNDUP(SUM(E34:E56),-3)</f>
        <v>223000</v>
      </c>
      <c r="F57" s="161">
        <f>ROUNDUP(SUM(F34:F56),-3)</f>
        <v>282000</v>
      </c>
      <c r="G57" s="161"/>
      <c r="H57" s="162"/>
      <c r="I57" s="156"/>
      <c r="J57" s="192">
        <f>F57/F$105</f>
        <v>0.5127272727272727</v>
      </c>
      <c r="K57" s="359"/>
      <c r="L57" s="194"/>
      <c r="M57" s="156" t="str">
        <f>B57</f>
        <v>Process Subtotal</v>
      </c>
      <c r="N57" s="56"/>
      <c r="O57" s="161">
        <f t="shared" ref="O57:BG57" si="22">ROUNDUP(SUM(O34:O56),-3)</f>
        <v>223000</v>
      </c>
      <c r="P57" s="161">
        <f t="shared" si="22"/>
        <v>223000</v>
      </c>
      <c r="Q57" s="161">
        <f t="shared" si="22"/>
        <v>220000</v>
      </c>
      <c r="R57" s="161">
        <f t="shared" si="22"/>
        <v>279000</v>
      </c>
      <c r="S57" s="161">
        <f t="shared" si="22"/>
        <v>220000</v>
      </c>
      <c r="T57" s="161">
        <f t="shared" si="22"/>
        <v>282000</v>
      </c>
      <c r="U57" s="161">
        <f t="shared" si="22"/>
        <v>220000</v>
      </c>
      <c r="V57" s="161">
        <f t="shared" si="22"/>
        <v>223000</v>
      </c>
      <c r="W57" s="161">
        <f t="shared" si="22"/>
        <v>220000</v>
      </c>
      <c r="X57" s="161">
        <f t="shared" si="22"/>
        <v>223000</v>
      </c>
      <c r="Y57" s="161">
        <f t="shared" si="22"/>
        <v>220000</v>
      </c>
      <c r="Z57" s="161">
        <f t="shared" si="22"/>
        <v>196000</v>
      </c>
      <c r="AA57" s="161">
        <f t="shared" si="22"/>
        <v>223000</v>
      </c>
      <c r="AB57" s="161">
        <f t="shared" si="22"/>
        <v>220000</v>
      </c>
      <c r="AC57" s="161">
        <f t="shared" si="22"/>
        <v>223000</v>
      </c>
      <c r="AD57" s="161">
        <f t="shared" si="22"/>
        <v>223000</v>
      </c>
      <c r="AE57" s="161">
        <f t="shared" si="22"/>
        <v>193000</v>
      </c>
      <c r="AF57" s="161">
        <f t="shared" si="22"/>
        <v>282000</v>
      </c>
      <c r="AG57" s="161">
        <f t="shared" si="22"/>
        <v>279000</v>
      </c>
      <c r="AH57" s="161">
        <f t="shared" si="22"/>
        <v>223000</v>
      </c>
      <c r="AI57" s="161">
        <f t="shared" si="22"/>
        <v>279000</v>
      </c>
      <c r="AJ57" s="161">
        <f t="shared" si="22"/>
        <v>279000</v>
      </c>
      <c r="AK57" s="161">
        <f t="shared" si="22"/>
        <v>196000</v>
      </c>
      <c r="AL57" s="161">
        <f t="shared" si="22"/>
        <v>196000</v>
      </c>
      <c r="AM57" s="161">
        <f t="shared" si="22"/>
        <v>193000</v>
      </c>
      <c r="AN57" s="161">
        <f t="shared" si="22"/>
        <v>220000</v>
      </c>
      <c r="AO57" s="161">
        <f t="shared" si="22"/>
        <v>193000</v>
      </c>
      <c r="AP57" s="161">
        <f t="shared" si="22"/>
        <v>223000</v>
      </c>
      <c r="AQ57" s="161">
        <f t="shared" si="22"/>
        <v>223000</v>
      </c>
      <c r="AR57" s="161">
        <f t="shared" si="22"/>
        <v>223000</v>
      </c>
      <c r="AS57" s="161">
        <f t="shared" si="22"/>
        <v>223000</v>
      </c>
      <c r="AT57" s="161">
        <f t="shared" si="22"/>
        <v>223000</v>
      </c>
      <c r="AU57" s="161">
        <f t="shared" si="22"/>
        <v>220000</v>
      </c>
      <c r="AV57" s="161">
        <f t="shared" si="22"/>
        <v>220000</v>
      </c>
      <c r="AW57" s="161">
        <f t="shared" si="22"/>
        <v>193000</v>
      </c>
      <c r="AX57" s="161">
        <f t="shared" si="22"/>
        <v>220000</v>
      </c>
      <c r="AY57" s="161">
        <f t="shared" si="22"/>
        <v>196000</v>
      </c>
      <c r="AZ57" s="161">
        <f t="shared" si="22"/>
        <v>282000</v>
      </c>
      <c r="BA57" s="161">
        <f t="shared" si="22"/>
        <v>223000</v>
      </c>
      <c r="BB57" s="161">
        <f t="shared" si="22"/>
        <v>220000</v>
      </c>
      <c r="BC57" s="161">
        <f t="shared" si="22"/>
        <v>220000</v>
      </c>
      <c r="BD57" s="161">
        <f t="shared" si="22"/>
        <v>279000</v>
      </c>
      <c r="BE57" s="161">
        <f t="shared" si="22"/>
        <v>193000</v>
      </c>
      <c r="BF57" s="161">
        <f t="shared" si="22"/>
        <v>193000</v>
      </c>
      <c r="BG57" s="161">
        <f t="shared" si="22"/>
        <v>193000</v>
      </c>
      <c r="BH57" s="413">
        <f t="shared" si="9"/>
        <v>10138000</v>
      </c>
    </row>
    <row r="58" spans="2:60">
      <c r="D58" s="55"/>
      <c r="E58" s="55"/>
      <c r="F58" s="55"/>
      <c r="G58" s="55"/>
      <c r="H58" s="157"/>
      <c r="M58" s="156"/>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413"/>
    </row>
    <row r="59" spans="2:60" s="56" customFormat="1" collapsed="1">
      <c r="B59" s="56" t="s">
        <v>315</v>
      </c>
      <c r="K59" s="156"/>
      <c r="M59" s="156" t="str">
        <f>B59</f>
        <v xml:space="preserve">Mechanical </v>
      </c>
      <c r="BH59" s="412"/>
    </row>
    <row r="60" spans="2:60" s="56" customFormat="1" ht="60" hidden="1" outlineLevel="1">
      <c r="B60" s="450" t="s">
        <v>316</v>
      </c>
      <c r="C60" s="451"/>
      <c r="D60" s="452">
        <v>15000</v>
      </c>
      <c r="E60" s="452">
        <v>15000</v>
      </c>
      <c r="F60" s="452">
        <v>15000</v>
      </c>
      <c r="G60" s="452"/>
      <c r="H60" s="453" t="s">
        <v>304</v>
      </c>
      <c r="I60" s="339" t="s">
        <v>317</v>
      </c>
      <c r="J60" s="454"/>
      <c r="K60" s="455" t="str">
        <f>B188</f>
        <v>Air handling units  and misc. building mechanical</v>
      </c>
      <c r="L60" s="194"/>
      <c r="M60" s="392" t="str">
        <f>B60</f>
        <v>Mechanical Allowance (ventillation, heating, including installation)</v>
      </c>
      <c r="N60" s="178"/>
      <c r="O60" s="208">
        <f t="shared" ref="O60:BG60" si="23">INDEX($D60:$F60,MATCH(O$8,$D$5:$F$5,0))</f>
        <v>15000</v>
      </c>
      <c r="P60" s="208">
        <f t="shared" si="23"/>
        <v>15000</v>
      </c>
      <c r="Q60" s="208">
        <f t="shared" si="23"/>
        <v>15000</v>
      </c>
      <c r="R60" s="208">
        <f t="shared" si="23"/>
        <v>15000</v>
      </c>
      <c r="S60" s="208">
        <f t="shared" si="23"/>
        <v>15000</v>
      </c>
      <c r="T60" s="208">
        <f t="shared" si="23"/>
        <v>15000</v>
      </c>
      <c r="U60" s="208">
        <f t="shared" si="23"/>
        <v>15000</v>
      </c>
      <c r="V60" s="208">
        <f t="shared" si="23"/>
        <v>15000</v>
      </c>
      <c r="W60" s="208">
        <f t="shared" si="23"/>
        <v>15000</v>
      </c>
      <c r="X60" s="208">
        <f t="shared" si="23"/>
        <v>15000</v>
      </c>
      <c r="Y60" s="208">
        <f t="shared" si="23"/>
        <v>15000</v>
      </c>
      <c r="Z60" s="208">
        <f t="shared" si="23"/>
        <v>15000</v>
      </c>
      <c r="AA60" s="208">
        <f t="shared" si="23"/>
        <v>15000</v>
      </c>
      <c r="AB60" s="208">
        <f t="shared" si="23"/>
        <v>15000</v>
      </c>
      <c r="AC60" s="208">
        <f t="shared" si="23"/>
        <v>15000</v>
      </c>
      <c r="AD60" s="208">
        <f t="shared" si="23"/>
        <v>15000</v>
      </c>
      <c r="AE60" s="208">
        <f t="shared" si="23"/>
        <v>15000</v>
      </c>
      <c r="AF60" s="208">
        <f t="shared" si="23"/>
        <v>15000</v>
      </c>
      <c r="AG60" s="208">
        <f t="shared" si="23"/>
        <v>15000</v>
      </c>
      <c r="AH60" s="208">
        <f t="shared" si="23"/>
        <v>15000</v>
      </c>
      <c r="AI60" s="208">
        <f t="shared" si="23"/>
        <v>15000</v>
      </c>
      <c r="AJ60" s="208">
        <f t="shared" si="23"/>
        <v>15000</v>
      </c>
      <c r="AK60" s="208">
        <f t="shared" si="23"/>
        <v>15000</v>
      </c>
      <c r="AL60" s="208">
        <f t="shared" si="23"/>
        <v>15000</v>
      </c>
      <c r="AM60" s="208">
        <f t="shared" si="23"/>
        <v>15000</v>
      </c>
      <c r="AN60" s="208">
        <f t="shared" si="23"/>
        <v>15000</v>
      </c>
      <c r="AO60" s="208">
        <f t="shared" si="23"/>
        <v>15000</v>
      </c>
      <c r="AP60" s="208">
        <f t="shared" si="23"/>
        <v>15000</v>
      </c>
      <c r="AQ60" s="208">
        <f t="shared" si="23"/>
        <v>15000</v>
      </c>
      <c r="AR60" s="208">
        <f t="shared" si="23"/>
        <v>15000</v>
      </c>
      <c r="AS60" s="208">
        <f t="shared" si="23"/>
        <v>15000</v>
      </c>
      <c r="AT60" s="208">
        <f t="shared" si="23"/>
        <v>15000</v>
      </c>
      <c r="AU60" s="208">
        <f t="shared" si="23"/>
        <v>15000</v>
      </c>
      <c r="AV60" s="208">
        <f t="shared" si="23"/>
        <v>15000</v>
      </c>
      <c r="AW60" s="208">
        <f t="shared" si="23"/>
        <v>15000</v>
      </c>
      <c r="AX60" s="208">
        <f t="shared" si="23"/>
        <v>15000</v>
      </c>
      <c r="AY60" s="208">
        <f t="shared" si="23"/>
        <v>15000</v>
      </c>
      <c r="AZ60" s="208">
        <f t="shared" si="23"/>
        <v>15000</v>
      </c>
      <c r="BA60" s="208">
        <f t="shared" si="23"/>
        <v>15000</v>
      </c>
      <c r="BB60" s="208">
        <f t="shared" si="23"/>
        <v>15000</v>
      </c>
      <c r="BC60" s="208">
        <f t="shared" si="23"/>
        <v>15000</v>
      </c>
      <c r="BD60" s="208">
        <f t="shared" si="23"/>
        <v>15000</v>
      </c>
      <c r="BE60" s="208">
        <f t="shared" si="23"/>
        <v>15000</v>
      </c>
      <c r="BF60" s="208">
        <f t="shared" si="23"/>
        <v>15000</v>
      </c>
      <c r="BG60" s="208">
        <f t="shared" si="23"/>
        <v>15000</v>
      </c>
      <c r="BH60" s="416">
        <f t="shared" si="9"/>
        <v>675000</v>
      </c>
    </row>
    <row r="61" spans="2:60" s="56" customFormat="1">
      <c r="B61" s="56" t="s">
        <v>318</v>
      </c>
      <c r="D61" s="161">
        <f>D60</f>
        <v>15000</v>
      </c>
      <c r="E61" s="161">
        <f>E60</f>
        <v>15000</v>
      </c>
      <c r="F61" s="161">
        <f>F60</f>
        <v>15000</v>
      </c>
      <c r="G61" s="161"/>
      <c r="H61" s="162"/>
      <c r="I61" s="156"/>
      <c r="J61" s="192">
        <f>F62/F$105</f>
        <v>0</v>
      </c>
      <c r="K61" s="359"/>
      <c r="L61" s="194"/>
      <c r="M61" s="156" t="str">
        <f>B61</f>
        <v>Mechanical Subtotal</v>
      </c>
      <c r="O61" s="161">
        <f>SUM(O60)</f>
        <v>15000</v>
      </c>
      <c r="P61" s="161">
        <f t="shared" ref="P61:BG61" si="24">SUM(P60)</f>
        <v>15000</v>
      </c>
      <c r="Q61" s="161">
        <f t="shared" si="24"/>
        <v>15000</v>
      </c>
      <c r="R61" s="161">
        <f t="shared" si="24"/>
        <v>15000</v>
      </c>
      <c r="S61" s="161">
        <f t="shared" si="24"/>
        <v>15000</v>
      </c>
      <c r="T61" s="161">
        <f t="shared" si="24"/>
        <v>15000</v>
      </c>
      <c r="U61" s="161">
        <f t="shared" si="24"/>
        <v>15000</v>
      </c>
      <c r="V61" s="161">
        <f t="shared" si="24"/>
        <v>15000</v>
      </c>
      <c r="W61" s="161">
        <f t="shared" si="24"/>
        <v>15000</v>
      </c>
      <c r="X61" s="161">
        <f t="shared" si="24"/>
        <v>15000</v>
      </c>
      <c r="Y61" s="161">
        <f t="shared" si="24"/>
        <v>15000</v>
      </c>
      <c r="Z61" s="161">
        <f t="shared" si="24"/>
        <v>15000</v>
      </c>
      <c r="AA61" s="161">
        <f t="shared" si="24"/>
        <v>15000</v>
      </c>
      <c r="AB61" s="161">
        <f t="shared" si="24"/>
        <v>15000</v>
      </c>
      <c r="AC61" s="161">
        <f t="shared" si="24"/>
        <v>15000</v>
      </c>
      <c r="AD61" s="161">
        <f t="shared" si="24"/>
        <v>15000</v>
      </c>
      <c r="AE61" s="161">
        <f t="shared" si="24"/>
        <v>15000</v>
      </c>
      <c r="AF61" s="161">
        <f t="shared" si="24"/>
        <v>15000</v>
      </c>
      <c r="AG61" s="161">
        <f t="shared" si="24"/>
        <v>15000</v>
      </c>
      <c r="AH61" s="161">
        <f t="shared" si="24"/>
        <v>15000</v>
      </c>
      <c r="AI61" s="161">
        <f t="shared" si="24"/>
        <v>15000</v>
      </c>
      <c r="AJ61" s="161">
        <f t="shared" si="24"/>
        <v>15000</v>
      </c>
      <c r="AK61" s="161">
        <f t="shared" si="24"/>
        <v>15000</v>
      </c>
      <c r="AL61" s="161">
        <f t="shared" si="24"/>
        <v>15000</v>
      </c>
      <c r="AM61" s="161">
        <f t="shared" si="24"/>
        <v>15000</v>
      </c>
      <c r="AN61" s="161">
        <f t="shared" si="24"/>
        <v>15000</v>
      </c>
      <c r="AO61" s="161">
        <f t="shared" si="24"/>
        <v>15000</v>
      </c>
      <c r="AP61" s="161">
        <f t="shared" si="24"/>
        <v>15000</v>
      </c>
      <c r="AQ61" s="161">
        <f t="shared" si="24"/>
        <v>15000</v>
      </c>
      <c r="AR61" s="161">
        <f t="shared" si="24"/>
        <v>15000</v>
      </c>
      <c r="AS61" s="161">
        <f t="shared" si="24"/>
        <v>15000</v>
      </c>
      <c r="AT61" s="161">
        <f t="shared" si="24"/>
        <v>15000</v>
      </c>
      <c r="AU61" s="161">
        <f t="shared" si="24"/>
        <v>15000</v>
      </c>
      <c r="AV61" s="161">
        <f t="shared" si="24"/>
        <v>15000</v>
      </c>
      <c r="AW61" s="161">
        <f t="shared" si="24"/>
        <v>15000</v>
      </c>
      <c r="AX61" s="161">
        <f t="shared" si="24"/>
        <v>15000</v>
      </c>
      <c r="AY61" s="161">
        <f t="shared" si="24"/>
        <v>15000</v>
      </c>
      <c r="AZ61" s="161">
        <f t="shared" si="24"/>
        <v>15000</v>
      </c>
      <c r="BA61" s="161">
        <f t="shared" si="24"/>
        <v>15000</v>
      </c>
      <c r="BB61" s="161">
        <f t="shared" si="24"/>
        <v>15000</v>
      </c>
      <c r="BC61" s="161">
        <f t="shared" si="24"/>
        <v>15000</v>
      </c>
      <c r="BD61" s="161">
        <f t="shared" si="24"/>
        <v>15000</v>
      </c>
      <c r="BE61" s="161">
        <f t="shared" si="24"/>
        <v>15000</v>
      </c>
      <c r="BF61" s="161">
        <f t="shared" si="24"/>
        <v>15000</v>
      </c>
      <c r="BG61" s="161">
        <f t="shared" si="24"/>
        <v>15000</v>
      </c>
      <c r="BH61" s="413">
        <f t="shared" si="9"/>
        <v>675000</v>
      </c>
    </row>
    <row r="62" spans="2:60">
      <c r="B62" s="56"/>
      <c r="D62" s="55"/>
      <c r="E62" s="55"/>
      <c r="F62" s="55"/>
      <c r="G62" s="55"/>
      <c r="H62" s="157"/>
      <c r="M62" s="156"/>
      <c r="N62" s="56"/>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413"/>
    </row>
    <row r="63" spans="2:60" collapsed="1">
      <c r="B63" s="56" t="s">
        <v>93</v>
      </c>
      <c r="M63" s="156" t="str">
        <f>B63</f>
        <v>Structural</v>
      </c>
      <c r="N63" s="56"/>
      <c r="BH63" s="412"/>
    </row>
    <row r="64" spans="2:60" ht="45" hidden="1" outlineLevel="1">
      <c r="B64" s="341" t="s">
        <v>319</v>
      </c>
      <c r="C64" s="227" t="s">
        <v>307</v>
      </c>
      <c r="D64" s="206">
        <f>D15*2000</f>
        <v>32000</v>
      </c>
      <c r="E64" s="206">
        <f>E15*2000</f>
        <v>32000</v>
      </c>
      <c r="F64" s="206">
        <f>F15*2000</f>
        <v>40000</v>
      </c>
      <c r="G64" s="206"/>
      <c r="H64" s="228" t="s">
        <v>304</v>
      </c>
      <c r="I64" s="229" t="s">
        <v>320</v>
      </c>
      <c r="J64" s="226">
        <f>F64/F$105</f>
        <v>7.2727272727272724E-2</v>
      </c>
      <c r="K64" s="225" t="str">
        <f>B192</f>
        <v xml:space="preserve">Misc. light structural </v>
      </c>
      <c r="L64" s="195"/>
      <c r="M64" s="393" t="str">
        <f>B64</f>
        <v>Building expansion. Excludes designated substance/asbestos abatement</v>
      </c>
      <c r="N64" s="207" t="str">
        <f>C64</f>
        <v>include if required</v>
      </c>
      <c r="O64" s="206">
        <f t="shared" ref="O64:BG64" si="25">IF(O10="No",0,INDEX($D64:$F64,MATCH(O$8,$D$5:$F$5,0)))</f>
        <v>32000</v>
      </c>
      <c r="P64" s="206">
        <f t="shared" si="25"/>
        <v>32000</v>
      </c>
      <c r="Q64" s="206">
        <f t="shared" si="25"/>
        <v>32000</v>
      </c>
      <c r="R64" s="206">
        <f t="shared" si="25"/>
        <v>40000</v>
      </c>
      <c r="S64" s="206">
        <f t="shared" si="25"/>
        <v>32000</v>
      </c>
      <c r="T64" s="206">
        <f t="shared" si="25"/>
        <v>40000</v>
      </c>
      <c r="U64" s="206">
        <f t="shared" si="25"/>
        <v>32000</v>
      </c>
      <c r="V64" s="206">
        <f t="shared" si="25"/>
        <v>32000</v>
      </c>
      <c r="W64" s="206">
        <f t="shared" si="25"/>
        <v>32000</v>
      </c>
      <c r="X64" s="206">
        <f t="shared" si="25"/>
        <v>32000</v>
      </c>
      <c r="Y64" s="206">
        <f t="shared" si="25"/>
        <v>32000</v>
      </c>
      <c r="Z64" s="206">
        <f t="shared" si="25"/>
        <v>32000</v>
      </c>
      <c r="AA64" s="206">
        <f t="shared" si="25"/>
        <v>32000</v>
      </c>
      <c r="AB64" s="206">
        <f t="shared" si="25"/>
        <v>32000</v>
      </c>
      <c r="AC64" s="206">
        <f t="shared" si="25"/>
        <v>32000</v>
      </c>
      <c r="AD64" s="206">
        <f t="shared" si="25"/>
        <v>32000</v>
      </c>
      <c r="AE64" s="206">
        <f t="shared" si="25"/>
        <v>32000</v>
      </c>
      <c r="AF64" s="206">
        <f t="shared" si="25"/>
        <v>40000</v>
      </c>
      <c r="AG64" s="206">
        <f t="shared" si="25"/>
        <v>40000</v>
      </c>
      <c r="AH64" s="206">
        <f t="shared" si="25"/>
        <v>0</v>
      </c>
      <c r="AI64" s="206">
        <f t="shared" si="25"/>
        <v>40000</v>
      </c>
      <c r="AJ64" s="206">
        <f t="shared" si="25"/>
        <v>0</v>
      </c>
      <c r="AK64" s="206">
        <f t="shared" si="25"/>
        <v>32000</v>
      </c>
      <c r="AL64" s="206">
        <f t="shared" si="25"/>
        <v>32000</v>
      </c>
      <c r="AM64" s="206">
        <f t="shared" si="25"/>
        <v>32000</v>
      </c>
      <c r="AN64" s="206">
        <f t="shared" si="25"/>
        <v>32000</v>
      </c>
      <c r="AO64" s="206">
        <f t="shared" si="25"/>
        <v>32000</v>
      </c>
      <c r="AP64" s="206">
        <f t="shared" si="25"/>
        <v>32000</v>
      </c>
      <c r="AQ64" s="206">
        <f t="shared" si="25"/>
        <v>32000</v>
      </c>
      <c r="AR64" s="206">
        <f t="shared" si="25"/>
        <v>32000</v>
      </c>
      <c r="AS64" s="206">
        <f t="shared" si="25"/>
        <v>32000</v>
      </c>
      <c r="AT64" s="206">
        <f t="shared" si="25"/>
        <v>32000</v>
      </c>
      <c r="AU64" s="206">
        <f t="shared" si="25"/>
        <v>32000</v>
      </c>
      <c r="AV64" s="206">
        <f t="shared" si="25"/>
        <v>32000</v>
      </c>
      <c r="AW64" s="206">
        <f t="shared" si="25"/>
        <v>32000</v>
      </c>
      <c r="AX64" s="206">
        <f t="shared" si="25"/>
        <v>32000</v>
      </c>
      <c r="AY64" s="206">
        <f t="shared" si="25"/>
        <v>32000</v>
      </c>
      <c r="AZ64" s="206">
        <f t="shared" si="25"/>
        <v>40000</v>
      </c>
      <c r="BA64" s="206">
        <f t="shared" si="25"/>
        <v>32000</v>
      </c>
      <c r="BB64" s="206">
        <f t="shared" si="25"/>
        <v>32000</v>
      </c>
      <c r="BC64" s="206">
        <f t="shared" si="25"/>
        <v>32000</v>
      </c>
      <c r="BD64" s="206">
        <f t="shared" si="25"/>
        <v>40000</v>
      </c>
      <c r="BE64" s="206">
        <f t="shared" si="25"/>
        <v>32000</v>
      </c>
      <c r="BF64" s="206">
        <f t="shared" si="25"/>
        <v>32000</v>
      </c>
      <c r="BG64" s="206">
        <f t="shared" si="25"/>
        <v>32000</v>
      </c>
      <c r="BH64" s="417">
        <f t="shared" si="9"/>
        <v>1432000</v>
      </c>
    </row>
    <row r="65" spans="2:60">
      <c r="B65" s="56" t="s">
        <v>321</v>
      </c>
      <c r="D65" s="166">
        <f>D64</f>
        <v>32000</v>
      </c>
      <c r="E65" s="193">
        <f>E64</f>
        <v>32000</v>
      </c>
      <c r="F65" s="166">
        <f>F64</f>
        <v>40000</v>
      </c>
      <c r="G65" s="166"/>
      <c r="H65"/>
      <c r="I65"/>
      <c r="J65" s="53"/>
      <c r="L65" s="53"/>
      <c r="M65" s="156" t="str">
        <f>B65</f>
        <v>Structural Subtotal</v>
      </c>
      <c r="O65" s="166">
        <f>SUM(O64)</f>
        <v>32000</v>
      </c>
      <c r="P65" s="166">
        <f t="shared" ref="P65:BG65" si="26">SUM(P64)</f>
        <v>32000</v>
      </c>
      <c r="Q65" s="166">
        <f t="shared" si="26"/>
        <v>32000</v>
      </c>
      <c r="R65" s="166">
        <f t="shared" si="26"/>
        <v>40000</v>
      </c>
      <c r="S65" s="166">
        <f t="shared" si="26"/>
        <v>32000</v>
      </c>
      <c r="T65" s="166">
        <f t="shared" si="26"/>
        <v>40000</v>
      </c>
      <c r="U65" s="166">
        <f t="shared" si="26"/>
        <v>32000</v>
      </c>
      <c r="V65" s="166">
        <f t="shared" si="26"/>
        <v>32000</v>
      </c>
      <c r="W65" s="166">
        <f t="shared" si="26"/>
        <v>32000</v>
      </c>
      <c r="X65" s="166">
        <f t="shared" si="26"/>
        <v>32000</v>
      </c>
      <c r="Y65" s="166">
        <f t="shared" si="26"/>
        <v>32000</v>
      </c>
      <c r="Z65" s="166">
        <f t="shared" si="26"/>
        <v>32000</v>
      </c>
      <c r="AA65" s="166">
        <f t="shared" si="26"/>
        <v>32000</v>
      </c>
      <c r="AB65" s="166">
        <f t="shared" si="26"/>
        <v>32000</v>
      </c>
      <c r="AC65" s="166">
        <f t="shared" si="26"/>
        <v>32000</v>
      </c>
      <c r="AD65" s="166">
        <f t="shared" si="26"/>
        <v>32000</v>
      </c>
      <c r="AE65" s="166">
        <f t="shared" si="26"/>
        <v>32000</v>
      </c>
      <c r="AF65" s="166">
        <f t="shared" si="26"/>
        <v>40000</v>
      </c>
      <c r="AG65" s="166">
        <f t="shared" si="26"/>
        <v>40000</v>
      </c>
      <c r="AH65" s="166">
        <f t="shared" si="26"/>
        <v>0</v>
      </c>
      <c r="AI65" s="166">
        <f t="shared" si="26"/>
        <v>40000</v>
      </c>
      <c r="AJ65" s="166">
        <f t="shared" si="26"/>
        <v>0</v>
      </c>
      <c r="AK65" s="166">
        <f t="shared" si="26"/>
        <v>32000</v>
      </c>
      <c r="AL65" s="166">
        <f t="shared" si="26"/>
        <v>32000</v>
      </c>
      <c r="AM65" s="166">
        <f t="shared" si="26"/>
        <v>32000</v>
      </c>
      <c r="AN65" s="166">
        <f t="shared" si="26"/>
        <v>32000</v>
      </c>
      <c r="AO65" s="166">
        <f t="shared" si="26"/>
        <v>32000</v>
      </c>
      <c r="AP65" s="166">
        <f t="shared" si="26"/>
        <v>32000</v>
      </c>
      <c r="AQ65" s="166">
        <f t="shared" si="26"/>
        <v>32000</v>
      </c>
      <c r="AR65" s="166">
        <f t="shared" si="26"/>
        <v>32000</v>
      </c>
      <c r="AS65" s="166">
        <f t="shared" si="26"/>
        <v>32000</v>
      </c>
      <c r="AT65" s="166">
        <f t="shared" si="26"/>
        <v>32000</v>
      </c>
      <c r="AU65" s="166">
        <f t="shared" si="26"/>
        <v>32000</v>
      </c>
      <c r="AV65" s="166">
        <f t="shared" si="26"/>
        <v>32000</v>
      </c>
      <c r="AW65" s="166">
        <f t="shared" si="26"/>
        <v>32000</v>
      </c>
      <c r="AX65" s="166">
        <f t="shared" si="26"/>
        <v>32000</v>
      </c>
      <c r="AY65" s="166">
        <f t="shared" si="26"/>
        <v>32000</v>
      </c>
      <c r="AZ65" s="166">
        <f t="shared" si="26"/>
        <v>40000</v>
      </c>
      <c r="BA65" s="166">
        <f t="shared" si="26"/>
        <v>32000</v>
      </c>
      <c r="BB65" s="166">
        <f t="shared" si="26"/>
        <v>32000</v>
      </c>
      <c r="BC65" s="166">
        <f t="shared" si="26"/>
        <v>32000</v>
      </c>
      <c r="BD65" s="166">
        <f t="shared" si="26"/>
        <v>40000</v>
      </c>
      <c r="BE65" s="166">
        <f t="shared" si="26"/>
        <v>32000</v>
      </c>
      <c r="BF65" s="166">
        <f t="shared" si="26"/>
        <v>32000</v>
      </c>
      <c r="BG65" s="166">
        <f t="shared" si="26"/>
        <v>32000</v>
      </c>
      <c r="BH65" s="418">
        <f t="shared" si="9"/>
        <v>1432000</v>
      </c>
    </row>
    <row r="66" spans="2:60">
      <c r="B66" s="56"/>
      <c r="E66" s="53"/>
      <c r="H66"/>
      <c r="I66"/>
      <c r="J66" s="53"/>
      <c r="L66" s="53"/>
      <c r="M66" s="156"/>
      <c r="BH66" s="412"/>
    </row>
    <row r="67" spans="2:60" collapsed="1">
      <c r="B67" s="56" t="s">
        <v>94</v>
      </c>
      <c r="C67" s="160"/>
      <c r="M67" s="156" t="str">
        <f t="shared" ref="M67:M81" si="27">B67</f>
        <v>Civil</v>
      </c>
      <c r="N67" s="56"/>
      <c r="BH67" s="412"/>
    </row>
    <row r="68" spans="2:60" ht="45" hidden="1" outlineLevel="1">
      <c r="B68" s="200" t="s">
        <v>322</v>
      </c>
      <c r="C68" s="160"/>
      <c r="D68" s="168">
        <v>60000</v>
      </c>
      <c r="E68" s="168">
        <f>D68</f>
        <v>60000</v>
      </c>
      <c r="F68" s="168">
        <f>D68</f>
        <v>60000</v>
      </c>
      <c r="G68" s="168"/>
      <c r="H68" s="347" t="s">
        <v>298</v>
      </c>
      <c r="I68" s="53" t="s">
        <v>323</v>
      </c>
      <c r="K68" s="53" t="str">
        <f t="shared" ref="K68:K80" si="28">$B$191</f>
        <v xml:space="preserve">Misc. site works </v>
      </c>
      <c r="M68" s="218" t="str">
        <f t="shared" si="27"/>
        <v>Civil Allowance (trenching, identification of buried services, site reinstatement)</v>
      </c>
      <c r="N68" s="56"/>
      <c r="O68" s="168">
        <f t="shared" ref="O68:BG68" si="29">INDEX($D68:$F68,MATCH(O$8,$D$5:$F$5,0))</f>
        <v>60000</v>
      </c>
      <c r="P68" s="168">
        <f t="shared" si="29"/>
        <v>60000</v>
      </c>
      <c r="Q68" s="168">
        <f t="shared" si="29"/>
        <v>60000</v>
      </c>
      <c r="R68" s="168">
        <f t="shared" si="29"/>
        <v>60000</v>
      </c>
      <c r="S68" s="168">
        <f t="shared" si="29"/>
        <v>60000</v>
      </c>
      <c r="T68" s="168">
        <f t="shared" si="29"/>
        <v>60000</v>
      </c>
      <c r="U68" s="168">
        <f t="shared" si="29"/>
        <v>60000</v>
      </c>
      <c r="V68" s="168">
        <f t="shared" si="29"/>
        <v>60000</v>
      </c>
      <c r="W68" s="168">
        <f t="shared" si="29"/>
        <v>60000</v>
      </c>
      <c r="X68" s="168">
        <f t="shared" si="29"/>
        <v>60000</v>
      </c>
      <c r="Y68" s="168">
        <f t="shared" si="29"/>
        <v>60000</v>
      </c>
      <c r="Z68" s="168">
        <f t="shared" si="29"/>
        <v>60000</v>
      </c>
      <c r="AA68" s="168">
        <f t="shared" si="29"/>
        <v>60000</v>
      </c>
      <c r="AB68" s="168">
        <f t="shared" si="29"/>
        <v>60000</v>
      </c>
      <c r="AC68" s="168">
        <f t="shared" si="29"/>
        <v>60000</v>
      </c>
      <c r="AD68" s="168">
        <f t="shared" si="29"/>
        <v>60000</v>
      </c>
      <c r="AE68" s="168">
        <f t="shared" si="29"/>
        <v>60000</v>
      </c>
      <c r="AF68" s="168">
        <f t="shared" si="29"/>
        <v>60000</v>
      </c>
      <c r="AG68" s="168">
        <f t="shared" si="29"/>
        <v>60000</v>
      </c>
      <c r="AH68" s="168">
        <f t="shared" si="29"/>
        <v>60000</v>
      </c>
      <c r="AI68" s="168">
        <f t="shared" si="29"/>
        <v>60000</v>
      </c>
      <c r="AJ68" s="168">
        <f t="shared" si="29"/>
        <v>60000</v>
      </c>
      <c r="AK68" s="168">
        <f t="shared" si="29"/>
        <v>60000</v>
      </c>
      <c r="AL68" s="168">
        <f t="shared" si="29"/>
        <v>60000</v>
      </c>
      <c r="AM68" s="168">
        <f t="shared" si="29"/>
        <v>60000</v>
      </c>
      <c r="AN68" s="168">
        <f t="shared" si="29"/>
        <v>60000</v>
      </c>
      <c r="AO68" s="168">
        <f t="shared" si="29"/>
        <v>60000</v>
      </c>
      <c r="AP68" s="168">
        <f t="shared" si="29"/>
        <v>60000</v>
      </c>
      <c r="AQ68" s="168">
        <f t="shared" si="29"/>
        <v>60000</v>
      </c>
      <c r="AR68" s="168">
        <f t="shared" si="29"/>
        <v>60000</v>
      </c>
      <c r="AS68" s="168">
        <f t="shared" si="29"/>
        <v>60000</v>
      </c>
      <c r="AT68" s="168">
        <f t="shared" si="29"/>
        <v>60000</v>
      </c>
      <c r="AU68" s="168">
        <f t="shared" si="29"/>
        <v>60000</v>
      </c>
      <c r="AV68" s="168">
        <f t="shared" si="29"/>
        <v>60000</v>
      </c>
      <c r="AW68" s="168">
        <f t="shared" si="29"/>
        <v>60000</v>
      </c>
      <c r="AX68" s="168">
        <f t="shared" si="29"/>
        <v>60000</v>
      </c>
      <c r="AY68" s="168">
        <f t="shared" si="29"/>
        <v>60000</v>
      </c>
      <c r="AZ68" s="168">
        <f t="shared" si="29"/>
        <v>60000</v>
      </c>
      <c r="BA68" s="168">
        <f t="shared" si="29"/>
        <v>60000</v>
      </c>
      <c r="BB68" s="168">
        <f t="shared" si="29"/>
        <v>60000</v>
      </c>
      <c r="BC68" s="168">
        <f t="shared" si="29"/>
        <v>60000</v>
      </c>
      <c r="BD68" s="168">
        <f t="shared" si="29"/>
        <v>60000</v>
      </c>
      <c r="BE68" s="168">
        <f t="shared" si="29"/>
        <v>60000</v>
      </c>
      <c r="BF68" s="168">
        <f t="shared" si="29"/>
        <v>60000</v>
      </c>
      <c r="BG68" s="168">
        <f t="shared" si="29"/>
        <v>60000</v>
      </c>
      <c r="BH68" s="414">
        <f t="shared" si="9"/>
        <v>2700000</v>
      </c>
    </row>
    <row r="69" spans="2:60" hidden="1" outlineLevel="1">
      <c r="B69" s="395" t="s">
        <v>324</v>
      </c>
      <c r="C69" s="396" t="s">
        <v>307</v>
      </c>
      <c r="D69" s="397">
        <v>5000</v>
      </c>
      <c r="E69" s="397">
        <f>D69</f>
        <v>5000</v>
      </c>
      <c r="F69" s="397">
        <f>E69</f>
        <v>5000</v>
      </c>
      <c r="G69" s="397"/>
      <c r="H69" s="398"/>
      <c r="I69" s="398" t="s">
        <v>325</v>
      </c>
      <c r="K69" s="53" t="str">
        <f t="shared" si="28"/>
        <v xml:space="preserve">Misc. site works </v>
      </c>
      <c r="M69" s="391" t="str">
        <f t="shared" si="27"/>
        <v xml:space="preserve">tree removal </v>
      </c>
      <c r="N69" s="211" t="str">
        <f t="shared" ref="N69:N80" si="30">C69</f>
        <v>include if required</v>
      </c>
      <c r="O69" s="199" t="str">
        <f t="shared" ref="O69:BG69" si="31">IF(O11="No","",INDEX($D69:$F69,MATCH(O$8,$D$5:$F$5,0)))</f>
        <v/>
      </c>
      <c r="P69" s="199" t="str">
        <f t="shared" si="31"/>
        <v/>
      </c>
      <c r="Q69" s="199">
        <f t="shared" si="31"/>
        <v>5000</v>
      </c>
      <c r="R69" s="199">
        <f t="shared" si="31"/>
        <v>5000</v>
      </c>
      <c r="S69" s="199" t="str">
        <f t="shared" si="31"/>
        <v/>
      </c>
      <c r="T69" s="199">
        <f t="shared" si="31"/>
        <v>5000</v>
      </c>
      <c r="U69" s="199" t="str">
        <f t="shared" si="31"/>
        <v/>
      </c>
      <c r="V69" s="199" t="str">
        <f t="shared" si="31"/>
        <v/>
      </c>
      <c r="W69" s="199" t="str">
        <f t="shared" si="31"/>
        <v/>
      </c>
      <c r="X69" s="199">
        <f t="shared" si="31"/>
        <v>5000</v>
      </c>
      <c r="Y69" s="199" t="str">
        <f t="shared" si="31"/>
        <v/>
      </c>
      <c r="Z69" s="199" t="str">
        <f t="shared" si="31"/>
        <v/>
      </c>
      <c r="AA69" s="199" t="str">
        <f t="shared" si="31"/>
        <v/>
      </c>
      <c r="AB69" s="199" t="str">
        <f t="shared" si="31"/>
        <v/>
      </c>
      <c r="AC69" s="199" t="str">
        <f t="shared" si="31"/>
        <v/>
      </c>
      <c r="AD69" s="199">
        <f t="shared" si="31"/>
        <v>5000</v>
      </c>
      <c r="AE69" s="199" t="str">
        <f t="shared" si="31"/>
        <v/>
      </c>
      <c r="AF69" s="199" t="str">
        <f t="shared" si="31"/>
        <v/>
      </c>
      <c r="AG69" s="199" t="str">
        <f t="shared" si="31"/>
        <v/>
      </c>
      <c r="AH69" s="199">
        <f t="shared" si="31"/>
        <v>5000</v>
      </c>
      <c r="AI69" s="199" t="str">
        <f t="shared" si="31"/>
        <v/>
      </c>
      <c r="AJ69" s="199" t="str">
        <f t="shared" si="31"/>
        <v/>
      </c>
      <c r="AK69" s="199">
        <f t="shared" si="31"/>
        <v>5000</v>
      </c>
      <c r="AL69" s="199" t="str">
        <f t="shared" si="31"/>
        <v/>
      </c>
      <c r="AM69" s="199">
        <f t="shared" si="31"/>
        <v>5000</v>
      </c>
      <c r="AN69" s="199" t="str">
        <f t="shared" si="31"/>
        <v/>
      </c>
      <c r="AO69" s="199" t="str">
        <f t="shared" si="31"/>
        <v/>
      </c>
      <c r="AP69" s="199" t="str">
        <f t="shared" si="31"/>
        <v/>
      </c>
      <c r="AQ69" s="199" t="str">
        <f t="shared" si="31"/>
        <v/>
      </c>
      <c r="AR69" s="199" t="str">
        <f t="shared" si="31"/>
        <v/>
      </c>
      <c r="AS69" s="199">
        <f t="shared" si="31"/>
        <v>5000</v>
      </c>
      <c r="AT69" s="199" t="str">
        <f t="shared" si="31"/>
        <v/>
      </c>
      <c r="AU69" s="199" t="str">
        <f t="shared" si="31"/>
        <v/>
      </c>
      <c r="AV69" s="199">
        <f t="shared" si="31"/>
        <v>5000</v>
      </c>
      <c r="AW69" s="199">
        <f t="shared" si="31"/>
        <v>5000</v>
      </c>
      <c r="AX69" s="199" t="str">
        <f t="shared" si="31"/>
        <v/>
      </c>
      <c r="AY69" s="199">
        <f t="shared" si="31"/>
        <v>5000</v>
      </c>
      <c r="AZ69" s="199">
        <f t="shared" si="31"/>
        <v>5000</v>
      </c>
      <c r="BA69" s="199">
        <f t="shared" si="31"/>
        <v>5000</v>
      </c>
      <c r="BB69" s="199" t="str">
        <f t="shared" si="31"/>
        <v/>
      </c>
      <c r="BC69" s="199" t="str">
        <f t="shared" si="31"/>
        <v/>
      </c>
      <c r="BD69" s="199" t="str">
        <f t="shared" si="31"/>
        <v/>
      </c>
      <c r="BE69" s="199">
        <f t="shared" si="31"/>
        <v>5000</v>
      </c>
      <c r="BF69" s="199" t="str">
        <f t="shared" si="31"/>
        <v/>
      </c>
      <c r="BG69" s="199" t="str">
        <f t="shared" si="31"/>
        <v/>
      </c>
      <c r="BH69" s="415">
        <f t="shared" si="9"/>
        <v>75000</v>
      </c>
    </row>
    <row r="70" spans="2:60" hidden="1" outlineLevel="1">
      <c r="B70" s="395" t="s">
        <v>228</v>
      </c>
      <c r="C70" s="396" t="s">
        <v>307</v>
      </c>
      <c r="D70" s="397"/>
      <c r="E70" s="397"/>
      <c r="F70" s="397"/>
      <c r="G70" s="397"/>
      <c r="H70" s="396"/>
      <c r="I70" s="396"/>
      <c r="K70" s="53" t="str">
        <f t="shared" si="28"/>
        <v xml:space="preserve">Misc. site works </v>
      </c>
      <c r="M70" s="391" t="str">
        <f t="shared" si="27"/>
        <v>overall site constraints</v>
      </c>
      <c r="N70" s="211" t="str">
        <f t="shared" si="30"/>
        <v>include if required</v>
      </c>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415">
        <f t="shared" si="9"/>
        <v>0</v>
      </c>
    </row>
    <row r="71" spans="2:60" hidden="1" outlineLevel="1">
      <c r="B71" s="399" t="s">
        <v>326</v>
      </c>
      <c r="C71" s="400">
        <v>0.1</v>
      </c>
      <c r="D71" s="397">
        <f t="shared" ref="D71:F72" si="32">$C71*D$68</f>
        <v>6000</v>
      </c>
      <c r="E71" s="397">
        <f t="shared" si="32"/>
        <v>6000</v>
      </c>
      <c r="F71" s="397">
        <f t="shared" si="32"/>
        <v>6000</v>
      </c>
      <c r="G71" s="397"/>
      <c r="H71" s="396"/>
      <c r="I71" s="396"/>
      <c r="K71" s="53" t="str">
        <f t="shared" si="28"/>
        <v xml:space="preserve">Misc. site works </v>
      </c>
      <c r="M71" s="391" t="str">
        <f t="shared" si="27"/>
        <v>minor</v>
      </c>
      <c r="N71" s="212">
        <f t="shared" si="30"/>
        <v>0.1</v>
      </c>
      <c r="O71" s="199" t="str">
        <f t="shared" ref="O71:X73" si="33">IF(O$12=$M71,INDEX($D71:$F71,MATCH(O$8,$D$5:$F$5,0)),"")</f>
        <v/>
      </c>
      <c r="P71" s="199" t="str">
        <f t="shared" si="33"/>
        <v/>
      </c>
      <c r="Q71" s="199" t="str">
        <f t="shared" si="33"/>
        <v/>
      </c>
      <c r="R71" s="199" t="str">
        <f t="shared" si="33"/>
        <v/>
      </c>
      <c r="S71" s="199" t="str">
        <f t="shared" si="33"/>
        <v/>
      </c>
      <c r="T71" s="199" t="str">
        <f t="shared" si="33"/>
        <v/>
      </c>
      <c r="U71" s="199" t="str">
        <f t="shared" si="33"/>
        <v/>
      </c>
      <c r="V71" s="199" t="str">
        <f t="shared" si="33"/>
        <v/>
      </c>
      <c r="W71" s="199" t="str">
        <f t="shared" si="33"/>
        <v/>
      </c>
      <c r="X71" s="199" t="str">
        <f t="shared" si="33"/>
        <v/>
      </c>
      <c r="Y71" s="199" t="str">
        <f t="shared" ref="Y71:AH73" si="34">IF(Y$12=$M71,INDEX($D71:$F71,MATCH(Y$8,$D$5:$F$5,0)),"")</f>
        <v/>
      </c>
      <c r="Z71" s="199" t="str">
        <f t="shared" si="34"/>
        <v/>
      </c>
      <c r="AA71" s="199" t="str">
        <f t="shared" si="34"/>
        <v/>
      </c>
      <c r="AB71" s="199" t="str">
        <f t="shared" si="34"/>
        <v/>
      </c>
      <c r="AC71" s="199" t="str">
        <f t="shared" si="34"/>
        <v/>
      </c>
      <c r="AD71" s="199" t="str">
        <f t="shared" si="34"/>
        <v/>
      </c>
      <c r="AE71" s="199" t="str">
        <f t="shared" si="34"/>
        <v/>
      </c>
      <c r="AF71" s="199" t="str">
        <f t="shared" si="34"/>
        <v/>
      </c>
      <c r="AG71" s="199" t="str">
        <f t="shared" si="34"/>
        <v/>
      </c>
      <c r="AH71" s="199">
        <f t="shared" si="34"/>
        <v>6000</v>
      </c>
      <c r="AI71" s="199" t="str">
        <f t="shared" ref="AI71:AR73" si="35">IF(AI$12=$M71,INDEX($D71:$F71,MATCH(AI$8,$D$5:$F$5,0)),"")</f>
        <v/>
      </c>
      <c r="AJ71" s="199" t="str">
        <f t="shared" si="35"/>
        <v/>
      </c>
      <c r="AK71" s="199" t="str">
        <f t="shared" si="35"/>
        <v/>
      </c>
      <c r="AL71" s="199" t="str">
        <f t="shared" si="35"/>
        <v/>
      </c>
      <c r="AM71" s="199" t="str">
        <f t="shared" si="35"/>
        <v/>
      </c>
      <c r="AN71" s="199" t="str">
        <f t="shared" si="35"/>
        <v/>
      </c>
      <c r="AO71" s="199" t="str">
        <f t="shared" si="35"/>
        <v/>
      </c>
      <c r="AP71" s="199" t="str">
        <f t="shared" si="35"/>
        <v/>
      </c>
      <c r="AQ71" s="199" t="str">
        <f t="shared" si="35"/>
        <v/>
      </c>
      <c r="AR71" s="199">
        <f t="shared" si="35"/>
        <v>6000</v>
      </c>
      <c r="AS71" s="199" t="str">
        <f t="shared" ref="AS71:BG73" si="36">IF(AS$12=$M71,INDEX($D71:$F71,MATCH(AS$8,$D$5:$F$5,0)),"")</f>
        <v/>
      </c>
      <c r="AT71" s="199" t="str">
        <f t="shared" si="36"/>
        <v/>
      </c>
      <c r="AU71" s="199" t="str">
        <f t="shared" si="36"/>
        <v/>
      </c>
      <c r="AV71" s="199" t="str">
        <f t="shared" si="36"/>
        <v/>
      </c>
      <c r="AW71" s="199" t="str">
        <f t="shared" si="36"/>
        <v/>
      </c>
      <c r="AX71" s="199" t="str">
        <f t="shared" si="36"/>
        <v/>
      </c>
      <c r="AY71" s="199" t="str">
        <f t="shared" si="36"/>
        <v/>
      </c>
      <c r="AZ71" s="199" t="str">
        <f t="shared" si="36"/>
        <v/>
      </c>
      <c r="BA71" s="199" t="str">
        <f t="shared" si="36"/>
        <v/>
      </c>
      <c r="BB71" s="199" t="str">
        <f t="shared" si="36"/>
        <v/>
      </c>
      <c r="BC71" s="199" t="str">
        <f t="shared" si="36"/>
        <v/>
      </c>
      <c r="BD71" s="199" t="str">
        <f t="shared" si="36"/>
        <v/>
      </c>
      <c r="BE71" s="199" t="str">
        <f t="shared" si="36"/>
        <v/>
      </c>
      <c r="BF71" s="199" t="str">
        <f t="shared" si="36"/>
        <v/>
      </c>
      <c r="BG71" s="199" t="str">
        <f t="shared" si="36"/>
        <v/>
      </c>
      <c r="BH71" s="415">
        <f t="shared" si="9"/>
        <v>12000</v>
      </c>
    </row>
    <row r="72" spans="2:60" hidden="1" outlineLevel="1">
      <c r="B72" s="399" t="s">
        <v>327</v>
      </c>
      <c r="C72" s="400">
        <v>0.25</v>
      </c>
      <c r="D72" s="397">
        <f t="shared" si="32"/>
        <v>15000</v>
      </c>
      <c r="E72" s="397">
        <f t="shared" si="32"/>
        <v>15000</v>
      </c>
      <c r="F72" s="397">
        <f t="shared" si="32"/>
        <v>15000</v>
      </c>
      <c r="G72" s="397"/>
      <c r="H72" s="396"/>
      <c r="I72" s="396"/>
      <c r="K72" s="53" t="str">
        <f t="shared" si="28"/>
        <v xml:space="preserve">Misc. site works </v>
      </c>
      <c r="M72" s="391" t="str">
        <f t="shared" si="27"/>
        <v>medium</v>
      </c>
      <c r="N72" s="212">
        <f t="shared" si="30"/>
        <v>0.25</v>
      </c>
      <c r="O72" s="199" t="str">
        <f t="shared" si="33"/>
        <v/>
      </c>
      <c r="P72" s="199" t="str">
        <f t="shared" si="33"/>
        <v/>
      </c>
      <c r="Q72" s="199">
        <f t="shared" si="33"/>
        <v>15000</v>
      </c>
      <c r="R72" s="199" t="str">
        <f t="shared" si="33"/>
        <v/>
      </c>
      <c r="S72" s="199" t="str">
        <f t="shared" si="33"/>
        <v/>
      </c>
      <c r="T72" s="199" t="str">
        <f t="shared" si="33"/>
        <v/>
      </c>
      <c r="U72" s="199" t="str">
        <f t="shared" si="33"/>
        <v/>
      </c>
      <c r="V72" s="199" t="str">
        <f t="shared" si="33"/>
        <v/>
      </c>
      <c r="W72" s="199">
        <f t="shared" si="33"/>
        <v>15000</v>
      </c>
      <c r="X72" s="199" t="str">
        <f t="shared" si="33"/>
        <v/>
      </c>
      <c r="Y72" s="199" t="str">
        <f t="shared" si="34"/>
        <v/>
      </c>
      <c r="Z72" s="199" t="str">
        <f t="shared" si="34"/>
        <v/>
      </c>
      <c r="AA72" s="199" t="str">
        <f t="shared" si="34"/>
        <v/>
      </c>
      <c r="AB72" s="199" t="str">
        <f t="shared" si="34"/>
        <v/>
      </c>
      <c r="AC72" s="199">
        <f t="shared" si="34"/>
        <v>15000</v>
      </c>
      <c r="AD72" s="199" t="str">
        <f t="shared" si="34"/>
        <v/>
      </c>
      <c r="AE72" s="199" t="str">
        <f t="shared" si="34"/>
        <v/>
      </c>
      <c r="AF72" s="199" t="str">
        <f t="shared" si="34"/>
        <v/>
      </c>
      <c r="AG72" s="199" t="str">
        <f t="shared" si="34"/>
        <v/>
      </c>
      <c r="AH72" s="199" t="str">
        <f t="shared" si="34"/>
        <v/>
      </c>
      <c r="AI72" s="199" t="str">
        <f t="shared" si="35"/>
        <v/>
      </c>
      <c r="AJ72" s="199" t="str">
        <f t="shared" si="35"/>
        <v/>
      </c>
      <c r="AK72" s="199">
        <f t="shared" si="35"/>
        <v>15000</v>
      </c>
      <c r="AL72" s="199" t="str">
        <f t="shared" si="35"/>
        <v/>
      </c>
      <c r="AM72" s="199" t="str">
        <f t="shared" si="35"/>
        <v/>
      </c>
      <c r="AN72" s="199">
        <f t="shared" si="35"/>
        <v>15000</v>
      </c>
      <c r="AO72" s="199" t="str">
        <f t="shared" si="35"/>
        <v/>
      </c>
      <c r="AP72" s="199" t="str">
        <f t="shared" si="35"/>
        <v/>
      </c>
      <c r="AQ72" s="199" t="str">
        <f t="shared" si="35"/>
        <v/>
      </c>
      <c r="AR72" s="199" t="str">
        <f t="shared" si="35"/>
        <v/>
      </c>
      <c r="AS72" s="199" t="str">
        <f t="shared" si="36"/>
        <v/>
      </c>
      <c r="AT72" s="199" t="str">
        <f t="shared" si="36"/>
        <v/>
      </c>
      <c r="AU72" s="199" t="str">
        <f t="shared" si="36"/>
        <v/>
      </c>
      <c r="AV72" s="199">
        <f t="shared" si="36"/>
        <v>15000</v>
      </c>
      <c r="AW72" s="199" t="str">
        <f t="shared" si="36"/>
        <v/>
      </c>
      <c r="AX72" s="199" t="str">
        <f t="shared" si="36"/>
        <v/>
      </c>
      <c r="AY72" s="199" t="str">
        <f t="shared" si="36"/>
        <v/>
      </c>
      <c r="AZ72" s="199" t="str">
        <f t="shared" si="36"/>
        <v/>
      </c>
      <c r="BA72" s="199">
        <f t="shared" si="36"/>
        <v>15000</v>
      </c>
      <c r="BB72" s="199" t="str">
        <f t="shared" si="36"/>
        <v/>
      </c>
      <c r="BC72" s="199" t="str">
        <f t="shared" si="36"/>
        <v/>
      </c>
      <c r="BD72" s="199" t="str">
        <f t="shared" si="36"/>
        <v/>
      </c>
      <c r="BE72" s="199" t="str">
        <f t="shared" si="36"/>
        <v/>
      </c>
      <c r="BF72" s="199" t="str">
        <f t="shared" si="36"/>
        <v/>
      </c>
      <c r="BG72" s="199" t="str">
        <f t="shared" si="36"/>
        <v/>
      </c>
      <c r="BH72" s="415">
        <f t="shared" si="9"/>
        <v>105000</v>
      </c>
    </row>
    <row r="73" spans="2:60" hidden="1" outlineLevel="1">
      <c r="B73" s="399" t="s">
        <v>328</v>
      </c>
      <c r="C73" s="400">
        <v>0.4</v>
      </c>
      <c r="D73" s="397">
        <f>$C73*D$68</f>
        <v>24000</v>
      </c>
      <c r="E73" s="397">
        <f>$C73*E$68</f>
        <v>24000</v>
      </c>
      <c r="F73" s="397">
        <f>$C73*F$68</f>
        <v>24000</v>
      </c>
      <c r="G73" s="397"/>
      <c r="H73" s="396"/>
      <c r="I73" s="396"/>
      <c r="K73" s="53" t="str">
        <f t="shared" si="28"/>
        <v xml:space="preserve">Misc. site works </v>
      </c>
      <c r="M73" s="391" t="str">
        <f t="shared" si="27"/>
        <v>high</v>
      </c>
      <c r="N73" s="212">
        <f t="shared" si="30"/>
        <v>0.4</v>
      </c>
      <c r="O73" s="199" t="str">
        <f t="shared" si="33"/>
        <v/>
      </c>
      <c r="P73" s="199" t="str">
        <f t="shared" si="33"/>
        <v/>
      </c>
      <c r="Q73" s="199" t="str">
        <f t="shared" si="33"/>
        <v/>
      </c>
      <c r="R73" s="199" t="str">
        <f t="shared" si="33"/>
        <v/>
      </c>
      <c r="S73" s="199" t="str">
        <f t="shared" si="33"/>
        <v/>
      </c>
      <c r="T73" s="199" t="str">
        <f t="shared" si="33"/>
        <v/>
      </c>
      <c r="U73" s="199" t="str">
        <f t="shared" si="33"/>
        <v/>
      </c>
      <c r="V73" s="199" t="str">
        <f t="shared" si="33"/>
        <v/>
      </c>
      <c r="W73" s="199" t="str">
        <f t="shared" si="33"/>
        <v/>
      </c>
      <c r="X73" s="199" t="str">
        <f t="shared" si="33"/>
        <v/>
      </c>
      <c r="Y73" s="199" t="str">
        <f t="shared" si="34"/>
        <v/>
      </c>
      <c r="Z73" s="199" t="str">
        <f t="shared" si="34"/>
        <v/>
      </c>
      <c r="AA73" s="199" t="str">
        <f t="shared" si="34"/>
        <v/>
      </c>
      <c r="AB73" s="199" t="str">
        <f t="shared" si="34"/>
        <v/>
      </c>
      <c r="AC73" s="199" t="str">
        <f t="shared" si="34"/>
        <v/>
      </c>
      <c r="AD73" s="199">
        <f t="shared" si="34"/>
        <v>24000</v>
      </c>
      <c r="AE73" s="199">
        <f t="shared" si="34"/>
        <v>24000</v>
      </c>
      <c r="AF73" s="199" t="str">
        <f t="shared" si="34"/>
        <v/>
      </c>
      <c r="AG73" s="199" t="str">
        <f t="shared" si="34"/>
        <v/>
      </c>
      <c r="AH73" s="199" t="str">
        <f t="shared" si="34"/>
        <v/>
      </c>
      <c r="AI73" s="199" t="str">
        <f t="shared" si="35"/>
        <v/>
      </c>
      <c r="AJ73" s="199" t="str">
        <f t="shared" si="35"/>
        <v/>
      </c>
      <c r="AK73" s="199" t="str">
        <f t="shared" si="35"/>
        <v/>
      </c>
      <c r="AL73" s="199" t="str">
        <f t="shared" si="35"/>
        <v/>
      </c>
      <c r="AM73" s="199" t="str">
        <f t="shared" si="35"/>
        <v/>
      </c>
      <c r="AN73" s="199" t="str">
        <f t="shared" si="35"/>
        <v/>
      </c>
      <c r="AO73" s="199">
        <f t="shared" si="35"/>
        <v>24000</v>
      </c>
      <c r="AP73" s="199">
        <f t="shared" si="35"/>
        <v>24000</v>
      </c>
      <c r="AQ73" s="199">
        <f t="shared" si="35"/>
        <v>24000</v>
      </c>
      <c r="AR73" s="199" t="str">
        <f t="shared" si="35"/>
        <v/>
      </c>
      <c r="AS73" s="199" t="str">
        <f t="shared" si="36"/>
        <v/>
      </c>
      <c r="AT73" s="199" t="str">
        <f t="shared" si="36"/>
        <v/>
      </c>
      <c r="AU73" s="199" t="str">
        <f t="shared" si="36"/>
        <v/>
      </c>
      <c r="AV73" s="199" t="str">
        <f t="shared" si="36"/>
        <v/>
      </c>
      <c r="AW73" s="199" t="str">
        <f t="shared" si="36"/>
        <v/>
      </c>
      <c r="AX73" s="199" t="str">
        <f t="shared" si="36"/>
        <v/>
      </c>
      <c r="AY73" s="199" t="str">
        <f t="shared" si="36"/>
        <v/>
      </c>
      <c r="AZ73" s="199" t="str">
        <f t="shared" si="36"/>
        <v/>
      </c>
      <c r="BA73" s="199" t="str">
        <f t="shared" si="36"/>
        <v/>
      </c>
      <c r="BB73" s="199" t="str">
        <f t="shared" si="36"/>
        <v/>
      </c>
      <c r="BC73" s="199" t="str">
        <f t="shared" si="36"/>
        <v/>
      </c>
      <c r="BD73" s="199" t="str">
        <f t="shared" si="36"/>
        <v/>
      </c>
      <c r="BE73" s="199" t="str">
        <f t="shared" si="36"/>
        <v/>
      </c>
      <c r="BF73" s="199" t="str">
        <f t="shared" si="36"/>
        <v/>
      </c>
      <c r="BG73" s="199" t="str">
        <f t="shared" si="36"/>
        <v/>
      </c>
      <c r="BH73" s="415">
        <f t="shared" si="9"/>
        <v>120000</v>
      </c>
    </row>
    <row r="74" spans="2:60" hidden="1" outlineLevel="1">
      <c r="B74" s="395" t="s">
        <v>232</v>
      </c>
      <c r="C74" s="396" t="s">
        <v>307</v>
      </c>
      <c r="D74" s="397"/>
      <c r="E74" s="397"/>
      <c r="F74" s="397"/>
      <c r="G74" s="397"/>
      <c r="H74" s="396"/>
      <c r="I74" s="396"/>
      <c r="K74" s="53" t="str">
        <f t="shared" si="28"/>
        <v xml:space="preserve">Misc. site works </v>
      </c>
      <c r="M74" s="391" t="str">
        <f t="shared" si="27"/>
        <v>markup - Delivery Constraint</v>
      </c>
      <c r="N74" s="213" t="str">
        <f t="shared" si="30"/>
        <v>include if required</v>
      </c>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415">
        <f t="shared" si="9"/>
        <v>0</v>
      </c>
    </row>
    <row r="75" spans="2:60" hidden="1" outlineLevel="1">
      <c r="B75" s="399" t="s">
        <v>326</v>
      </c>
      <c r="C75" s="400">
        <v>0.1</v>
      </c>
      <c r="D75" s="397">
        <f t="shared" ref="D75:F76" si="37">$C75*D$68</f>
        <v>6000</v>
      </c>
      <c r="E75" s="397">
        <f t="shared" si="37"/>
        <v>6000</v>
      </c>
      <c r="F75" s="397">
        <f t="shared" si="37"/>
        <v>6000</v>
      </c>
      <c r="G75" s="397"/>
      <c r="H75" s="396"/>
      <c r="I75" s="396"/>
      <c r="K75" s="53" t="str">
        <f t="shared" si="28"/>
        <v xml:space="preserve">Misc. site works </v>
      </c>
      <c r="M75" s="391" t="str">
        <f t="shared" si="27"/>
        <v>minor</v>
      </c>
      <c r="N75" s="212">
        <f t="shared" si="30"/>
        <v>0.1</v>
      </c>
      <c r="O75" s="199" t="str">
        <f t="shared" ref="O75:X76" si="38">IF(O$13=$M75,INDEX($D75:$F75,MATCH(O$8,$D$5:$F$5,0)),"")</f>
        <v/>
      </c>
      <c r="P75" s="199" t="str">
        <f t="shared" si="38"/>
        <v/>
      </c>
      <c r="Q75" s="199">
        <f t="shared" si="38"/>
        <v>6000</v>
      </c>
      <c r="R75" s="199" t="str">
        <f t="shared" si="38"/>
        <v/>
      </c>
      <c r="S75" s="199">
        <f t="shared" si="38"/>
        <v>6000</v>
      </c>
      <c r="T75" s="199" t="str">
        <f t="shared" si="38"/>
        <v/>
      </c>
      <c r="U75" s="199" t="str">
        <f t="shared" si="38"/>
        <v/>
      </c>
      <c r="V75" s="199">
        <f t="shared" si="38"/>
        <v>6000</v>
      </c>
      <c r="W75" s="199" t="str">
        <f t="shared" si="38"/>
        <v/>
      </c>
      <c r="X75" s="199" t="str">
        <f t="shared" si="38"/>
        <v/>
      </c>
      <c r="Y75" s="199" t="str">
        <f t="shared" ref="Y75:AH76" si="39">IF(Y$13=$M75,INDEX($D75:$F75,MATCH(Y$8,$D$5:$F$5,0)),"")</f>
        <v/>
      </c>
      <c r="Z75" s="199" t="str">
        <f t="shared" si="39"/>
        <v/>
      </c>
      <c r="AA75" s="199">
        <f t="shared" si="39"/>
        <v>6000</v>
      </c>
      <c r="AB75" s="199" t="str">
        <f t="shared" si="39"/>
        <v/>
      </c>
      <c r="AC75" s="199" t="str">
        <f t="shared" si="39"/>
        <v/>
      </c>
      <c r="AD75" s="199" t="str">
        <f t="shared" si="39"/>
        <v/>
      </c>
      <c r="AE75" s="199" t="str">
        <f t="shared" si="39"/>
        <v/>
      </c>
      <c r="AF75" s="199" t="str">
        <f t="shared" si="39"/>
        <v/>
      </c>
      <c r="AG75" s="199">
        <f t="shared" si="39"/>
        <v>6000</v>
      </c>
      <c r="AH75" s="199" t="str">
        <f t="shared" si="39"/>
        <v/>
      </c>
      <c r="AI75" s="199">
        <f t="shared" ref="AI75:AR76" si="40">IF(AI$13=$M75,INDEX($D75:$F75,MATCH(AI$8,$D$5:$F$5,0)),"")</f>
        <v>6000</v>
      </c>
      <c r="AJ75" s="199" t="str">
        <f t="shared" si="40"/>
        <v/>
      </c>
      <c r="AK75" s="199">
        <f t="shared" si="40"/>
        <v>6000</v>
      </c>
      <c r="AL75" s="199" t="str">
        <f t="shared" si="40"/>
        <v/>
      </c>
      <c r="AM75" s="199" t="str">
        <f t="shared" si="40"/>
        <v/>
      </c>
      <c r="AN75" s="199">
        <f t="shared" si="40"/>
        <v>6000</v>
      </c>
      <c r="AO75" s="199">
        <f t="shared" si="40"/>
        <v>6000</v>
      </c>
      <c r="AP75" s="199" t="str">
        <f t="shared" si="40"/>
        <v/>
      </c>
      <c r="AQ75" s="199">
        <f t="shared" si="40"/>
        <v>6000</v>
      </c>
      <c r="AR75" s="199" t="str">
        <f t="shared" si="40"/>
        <v/>
      </c>
      <c r="AS75" s="199" t="str">
        <f t="shared" ref="AS75:BG76" si="41">IF(AS$13=$M75,INDEX($D75:$F75,MATCH(AS$8,$D$5:$F$5,0)),"")</f>
        <v/>
      </c>
      <c r="AT75" s="199" t="str">
        <f t="shared" si="41"/>
        <v/>
      </c>
      <c r="AU75" s="199" t="str">
        <f t="shared" si="41"/>
        <v/>
      </c>
      <c r="AV75" s="199">
        <f t="shared" si="41"/>
        <v>6000</v>
      </c>
      <c r="AW75" s="199" t="str">
        <f t="shared" si="41"/>
        <v/>
      </c>
      <c r="AX75" s="199">
        <f t="shared" si="41"/>
        <v>6000</v>
      </c>
      <c r="AY75" s="199" t="str">
        <f t="shared" si="41"/>
        <v/>
      </c>
      <c r="AZ75" s="199" t="str">
        <f t="shared" si="41"/>
        <v/>
      </c>
      <c r="BA75" s="199" t="str">
        <f t="shared" si="41"/>
        <v/>
      </c>
      <c r="BB75" s="199">
        <f t="shared" si="41"/>
        <v>6000</v>
      </c>
      <c r="BC75" s="199">
        <f t="shared" si="41"/>
        <v>6000</v>
      </c>
      <c r="BD75" s="199" t="str">
        <f t="shared" si="41"/>
        <v/>
      </c>
      <c r="BE75" s="199" t="str">
        <f t="shared" si="41"/>
        <v/>
      </c>
      <c r="BF75" s="199" t="str">
        <f t="shared" si="41"/>
        <v/>
      </c>
      <c r="BG75" s="199" t="str">
        <f t="shared" si="41"/>
        <v/>
      </c>
      <c r="BH75" s="415">
        <f t="shared" si="9"/>
        <v>84000</v>
      </c>
    </row>
    <row r="76" spans="2:60" hidden="1" outlineLevel="1">
      <c r="B76" s="399" t="s">
        <v>327</v>
      </c>
      <c r="C76" s="400">
        <v>0.2</v>
      </c>
      <c r="D76" s="397">
        <f t="shared" si="37"/>
        <v>12000</v>
      </c>
      <c r="E76" s="397">
        <f t="shared" si="37"/>
        <v>12000</v>
      </c>
      <c r="F76" s="397">
        <f t="shared" si="37"/>
        <v>12000</v>
      </c>
      <c r="G76" s="397"/>
      <c r="H76" s="396"/>
      <c r="I76" s="396"/>
      <c r="K76" s="53" t="str">
        <f t="shared" si="28"/>
        <v xml:space="preserve">Misc. site works </v>
      </c>
      <c r="M76" s="391" t="str">
        <f t="shared" si="27"/>
        <v>medium</v>
      </c>
      <c r="N76" s="212">
        <f t="shared" si="30"/>
        <v>0.2</v>
      </c>
      <c r="O76" s="199" t="str">
        <f t="shared" si="38"/>
        <v/>
      </c>
      <c r="P76" s="199" t="str">
        <f t="shared" si="38"/>
        <v/>
      </c>
      <c r="Q76" s="199" t="str">
        <f t="shared" si="38"/>
        <v/>
      </c>
      <c r="R76" s="199" t="str">
        <f t="shared" si="38"/>
        <v/>
      </c>
      <c r="S76" s="199" t="str">
        <f t="shared" si="38"/>
        <v/>
      </c>
      <c r="T76" s="199" t="str">
        <f t="shared" si="38"/>
        <v/>
      </c>
      <c r="U76" s="199" t="str">
        <f t="shared" si="38"/>
        <v/>
      </c>
      <c r="V76" s="199" t="str">
        <f t="shared" si="38"/>
        <v/>
      </c>
      <c r="W76" s="199" t="str">
        <f t="shared" si="38"/>
        <v/>
      </c>
      <c r="X76" s="199" t="str">
        <f t="shared" si="38"/>
        <v/>
      </c>
      <c r="Y76" s="199" t="str">
        <f t="shared" si="39"/>
        <v/>
      </c>
      <c r="Z76" s="199" t="str">
        <f t="shared" si="39"/>
        <v/>
      </c>
      <c r="AA76" s="199" t="str">
        <f t="shared" si="39"/>
        <v/>
      </c>
      <c r="AB76" s="199" t="str">
        <f t="shared" si="39"/>
        <v/>
      </c>
      <c r="AC76" s="199" t="str">
        <f t="shared" si="39"/>
        <v/>
      </c>
      <c r="AD76" s="199">
        <f t="shared" si="39"/>
        <v>12000</v>
      </c>
      <c r="AE76" s="199">
        <f t="shared" si="39"/>
        <v>12000</v>
      </c>
      <c r="AF76" s="199" t="str">
        <f t="shared" si="39"/>
        <v/>
      </c>
      <c r="AG76" s="199" t="str">
        <f t="shared" si="39"/>
        <v/>
      </c>
      <c r="AH76" s="199" t="str">
        <f t="shared" si="39"/>
        <v/>
      </c>
      <c r="AI76" s="199" t="str">
        <f t="shared" si="40"/>
        <v/>
      </c>
      <c r="AJ76" s="199" t="str">
        <f t="shared" si="40"/>
        <v/>
      </c>
      <c r="AK76" s="199" t="str">
        <f t="shared" si="40"/>
        <v/>
      </c>
      <c r="AL76" s="199" t="str">
        <f t="shared" si="40"/>
        <v/>
      </c>
      <c r="AM76" s="199" t="str">
        <f t="shared" si="40"/>
        <v/>
      </c>
      <c r="AN76" s="199" t="str">
        <f t="shared" si="40"/>
        <v/>
      </c>
      <c r="AO76" s="199" t="str">
        <f t="shared" si="40"/>
        <v/>
      </c>
      <c r="AP76" s="199" t="str">
        <f t="shared" si="40"/>
        <v/>
      </c>
      <c r="AQ76" s="199" t="str">
        <f t="shared" si="40"/>
        <v/>
      </c>
      <c r="AR76" s="199" t="str">
        <f t="shared" si="40"/>
        <v/>
      </c>
      <c r="AS76" s="199" t="str">
        <f t="shared" si="41"/>
        <v/>
      </c>
      <c r="AT76" s="199" t="str">
        <f t="shared" si="41"/>
        <v/>
      </c>
      <c r="AU76" s="199">
        <f t="shared" si="41"/>
        <v>12000</v>
      </c>
      <c r="AV76" s="199" t="str">
        <f t="shared" si="41"/>
        <v/>
      </c>
      <c r="AW76" s="199" t="str">
        <f t="shared" si="41"/>
        <v/>
      </c>
      <c r="AX76" s="199" t="str">
        <f t="shared" si="41"/>
        <v/>
      </c>
      <c r="AY76" s="199" t="str">
        <f t="shared" si="41"/>
        <v/>
      </c>
      <c r="AZ76" s="199" t="str">
        <f t="shared" si="41"/>
        <v/>
      </c>
      <c r="BA76" s="199">
        <f t="shared" si="41"/>
        <v>12000</v>
      </c>
      <c r="BB76" s="199" t="str">
        <f t="shared" si="41"/>
        <v/>
      </c>
      <c r="BC76" s="199" t="str">
        <f t="shared" si="41"/>
        <v/>
      </c>
      <c r="BD76" s="199" t="str">
        <f t="shared" si="41"/>
        <v/>
      </c>
      <c r="BE76" s="199" t="str">
        <f t="shared" si="41"/>
        <v/>
      </c>
      <c r="BF76" s="199" t="str">
        <f t="shared" si="41"/>
        <v/>
      </c>
      <c r="BG76" s="199" t="str">
        <f t="shared" si="41"/>
        <v/>
      </c>
      <c r="BH76" s="415">
        <f t="shared" si="9"/>
        <v>48000</v>
      </c>
    </row>
    <row r="77" spans="2:60" hidden="1" outlineLevel="1">
      <c r="B77" s="395" t="s">
        <v>329</v>
      </c>
      <c r="C77" s="396" t="s">
        <v>307</v>
      </c>
      <c r="D77" s="397"/>
      <c r="E77" s="397"/>
      <c r="F77" s="397"/>
      <c r="G77" s="397"/>
      <c r="H77" s="396"/>
      <c r="I77" s="396" t="s">
        <v>330</v>
      </c>
      <c r="J77" s="53"/>
      <c r="K77" s="53" t="str">
        <f t="shared" si="28"/>
        <v xml:space="preserve">Misc. site works </v>
      </c>
      <c r="L77" s="53"/>
      <c r="M77" s="391" t="str">
        <f t="shared" si="27"/>
        <v>markup - WW connection available</v>
      </c>
      <c r="N77" s="213" t="str">
        <f t="shared" si="30"/>
        <v>include if required</v>
      </c>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415">
        <f t="shared" si="9"/>
        <v>0</v>
      </c>
    </row>
    <row r="78" spans="2:60" hidden="1" outlineLevel="1">
      <c r="B78" s="399" t="s">
        <v>331</v>
      </c>
      <c r="C78" s="400">
        <v>0.1</v>
      </c>
      <c r="D78" s="397">
        <f t="shared" ref="D78:D79" si="42">$C78*D$68</f>
        <v>6000</v>
      </c>
      <c r="E78" s="397">
        <f t="shared" ref="E78:F80" si="43">$C78*E$68</f>
        <v>6000</v>
      </c>
      <c r="F78" s="397">
        <f t="shared" si="43"/>
        <v>6000</v>
      </c>
      <c r="G78" s="397"/>
      <c r="H78" s="396"/>
      <c r="I78" s="396"/>
      <c r="J78" s="53"/>
      <c r="K78" s="53" t="str">
        <f t="shared" si="28"/>
        <v xml:space="preserve">Misc. site works </v>
      </c>
      <c r="L78" s="53"/>
      <c r="M78" s="391" t="str">
        <f t="shared" si="27"/>
        <v>At Road</v>
      </c>
      <c r="N78" s="209">
        <f t="shared" si="30"/>
        <v>0.1</v>
      </c>
      <c r="O78" s="199" t="str">
        <f t="shared" ref="O78:X80" si="44">IF(O$14=$M78,INDEX($D78:$F78,MATCH(O$8,$D$5:$F$5,0)),"")</f>
        <v/>
      </c>
      <c r="P78" s="199">
        <f t="shared" si="44"/>
        <v>6000</v>
      </c>
      <c r="Q78" s="199">
        <f t="shared" si="44"/>
        <v>6000</v>
      </c>
      <c r="R78" s="199" t="str">
        <f t="shared" si="44"/>
        <v/>
      </c>
      <c r="S78" s="199" t="str">
        <f t="shared" si="44"/>
        <v/>
      </c>
      <c r="T78" s="199">
        <f t="shared" si="44"/>
        <v>6000</v>
      </c>
      <c r="U78" s="199">
        <f t="shared" si="44"/>
        <v>6000</v>
      </c>
      <c r="V78" s="199" t="str">
        <f t="shared" si="44"/>
        <v/>
      </c>
      <c r="W78" s="199">
        <f t="shared" si="44"/>
        <v>6000</v>
      </c>
      <c r="X78" s="199">
        <f t="shared" si="44"/>
        <v>6000</v>
      </c>
      <c r="Y78" s="199" t="str">
        <f t="shared" ref="Y78:AH80" si="45">IF(Y$14=$M78,INDEX($D78:$F78,MATCH(Y$8,$D$5:$F$5,0)),"")</f>
        <v/>
      </c>
      <c r="Z78" s="199" t="str">
        <f t="shared" si="45"/>
        <v/>
      </c>
      <c r="AA78" s="199">
        <f t="shared" si="45"/>
        <v>6000</v>
      </c>
      <c r="AB78" s="199">
        <f t="shared" si="45"/>
        <v>6000</v>
      </c>
      <c r="AC78" s="199">
        <f t="shared" si="45"/>
        <v>6000</v>
      </c>
      <c r="AD78" s="199">
        <f t="shared" si="45"/>
        <v>6000</v>
      </c>
      <c r="AE78" s="199">
        <f t="shared" si="45"/>
        <v>6000</v>
      </c>
      <c r="AF78" s="199" t="str">
        <f t="shared" si="45"/>
        <v/>
      </c>
      <c r="AG78" s="199" t="str">
        <f t="shared" si="45"/>
        <v/>
      </c>
      <c r="AH78" s="199" t="str">
        <f t="shared" si="45"/>
        <v/>
      </c>
      <c r="AI78" s="199">
        <f t="shared" ref="AI78:AR80" si="46">IF(AI$14=$M78,INDEX($D78:$F78,MATCH(AI$8,$D$5:$F$5,0)),"")</f>
        <v>6000</v>
      </c>
      <c r="AJ78" s="199">
        <f t="shared" si="46"/>
        <v>6000</v>
      </c>
      <c r="AK78" s="199">
        <f t="shared" si="46"/>
        <v>6000</v>
      </c>
      <c r="AL78" s="199">
        <f t="shared" si="46"/>
        <v>6000</v>
      </c>
      <c r="AM78" s="199">
        <f t="shared" si="46"/>
        <v>6000</v>
      </c>
      <c r="AN78" s="199">
        <f t="shared" si="46"/>
        <v>6000</v>
      </c>
      <c r="AO78" s="199">
        <f t="shared" si="46"/>
        <v>6000</v>
      </c>
      <c r="AP78" s="199">
        <f t="shared" si="46"/>
        <v>6000</v>
      </c>
      <c r="AQ78" s="199" t="str">
        <f t="shared" si="46"/>
        <v/>
      </c>
      <c r="AR78" s="199">
        <f t="shared" si="46"/>
        <v>6000</v>
      </c>
      <c r="AS78" s="199">
        <f t="shared" ref="AS78:BG80" si="47">IF(AS$14=$M78,INDEX($D78:$F78,MATCH(AS$8,$D$5:$F$5,0)),"")</f>
        <v>6000</v>
      </c>
      <c r="AT78" s="199" t="str">
        <f t="shared" si="47"/>
        <v/>
      </c>
      <c r="AU78" s="199" t="str">
        <f t="shared" si="47"/>
        <v/>
      </c>
      <c r="AV78" s="199">
        <f t="shared" si="47"/>
        <v>6000</v>
      </c>
      <c r="AW78" s="199">
        <f t="shared" si="47"/>
        <v>6000</v>
      </c>
      <c r="AX78" s="199" t="str">
        <f t="shared" si="47"/>
        <v/>
      </c>
      <c r="AY78" s="199">
        <f t="shared" si="47"/>
        <v>6000</v>
      </c>
      <c r="AZ78" s="199">
        <f t="shared" si="47"/>
        <v>6000</v>
      </c>
      <c r="BA78" s="199">
        <f t="shared" si="47"/>
        <v>6000</v>
      </c>
      <c r="BB78" s="199" t="str">
        <f t="shared" si="47"/>
        <v/>
      </c>
      <c r="BC78" s="199" t="str">
        <f t="shared" si="47"/>
        <v/>
      </c>
      <c r="BD78" s="199">
        <f t="shared" si="47"/>
        <v>6000</v>
      </c>
      <c r="BE78" s="199">
        <f t="shared" si="47"/>
        <v>6000</v>
      </c>
      <c r="BF78" s="199" t="str">
        <f t="shared" si="47"/>
        <v/>
      </c>
      <c r="BG78" s="199" t="str">
        <f t="shared" si="47"/>
        <v/>
      </c>
      <c r="BH78" s="415">
        <f t="shared" si="9"/>
        <v>168000</v>
      </c>
    </row>
    <row r="79" spans="2:60" hidden="1" outlineLevel="1">
      <c r="B79" s="399" t="s">
        <v>332</v>
      </c>
      <c r="C79" s="400">
        <v>0.15</v>
      </c>
      <c r="D79" s="401">
        <f t="shared" si="42"/>
        <v>9000</v>
      </c>
      <c r="E79" s="401">
        <f t="shared" si="43"/>
        <v>9000</v>
      </c>
      <c r="F79" s="401">
        <f t="shared" si="43"/>
        <v>9000</v>
      </c>
      <c r="G79" s="401"/>
      <c r="H79" s="396"/>
      <c r="I79" s="396"/>
      <c r="J79" s="53"/>
      <c r="K79" s="53" t="str">
        <f t="shared" si="28"/>
        <v xml:space="preserve">Misc. site works </v>
      </c>
      <c r="L79" s="53"/>
      <c r="M79" s="391" t="str">
        <f t="shared" si="27"/>
        <v>far</v>
      </c>
      <c r="N79" s="209">
        <f t="shared" si="30"/>
        <v>0.15</v>
      </c>
      <c r="O79" s="199" t="str">
        <f t="shared" si="44"/>
        <v/>
      </c>
      <c r="P79" s="199" t="str">
        <f t="shared" si="44"/>
        <v/>
      </c>
      <c r="Q79" s="199" t="str">
        <f t="shared" si="44"/>
        <v/>
      </c>
      <c r="R79" s="199">
        <f t="shared" si="44"/>
        <v>9000</v>
      </c>
      <c r="S79" s="199">
        <f t="shared" si="44"/>
        <v>9000</v>
      </c>
      <c r="T79" s="199" t="str">
        <f t="shared" si="44"/>
        <v/>
      </c>
      <c r="U79" s="199" t="str">
        <f t="shared" si="44"/>
        <v/>
      </c>
      <c r="V79" s="199">
        <f t="shared" si="44"/>
        <v>9000</v>
      </c>
      <c r="W79" s="199" t="str">
        <f t="shared" si="44"/>
        <v/>
      </c>
      <c r="X79" s="199" t="str">
        <f t="shared" si="44"/>
        <v/>
      </c>
      <c r="Y79" s="199">
        <f t="shared" si="45"/>
        <v>9000</v>
      </c>
      <c r="Z79" s="199" t="str">
        <f t="shared" si="45"/>
        <v/>
      </c>
      <c r="AA79" s="199" t="str">
        <f t="shared" si="45"/>
        <v/>
      </c>
      <c r="AB79" s="199" t="str">
        <f t="shared" si="45"/>
        <v/>
      </c>
      <c r="AC79" s="199" t="str">
        <f t="shared" si="45"/>
        <v/>
      </c>
      <c r="AD79" s="199" t="str">
        <f t="shared" si="45"/>
        <v/>
      </c>
      <c r="AE79" s="199" t="str">
        <f t="shared" si="45"/>
        <v/>
      </c>
      <c r="AF79" s="199">
        <f t="shared" si="45"/>
        <v>9000</v>
      </c>
      <c r="AG79" s="199">
        <f t="shared" si="45"/>
        <v>9000</v>
      </c>
      <c r="AH79" s="199" t="str">
        <f t="shared" si="45"/>
        <v/>
      </c>
      <c r="AI79" s="199" t="str">
        <f t="shared" si="46"/>
        <v/>
      </c>
      <c r="AJ79" s="199" t="str">
        <f t="shared" si="46"/>
        <v/>
      </c>
      <c r="AK79" s="199" t="str">
        <f t="shared" si="46"/>
        <v/>
      </c>
      <c r="AL79" s="199" t="str">
        <f t="shared" si="46"/>
        <v/>
      </c>
      <c r="AM79" s="199" t="str">
        <f t="shared" si="46"/>
        <v/>
      </c>
      <c r="AN79" s="199" t="str">
        <f t="shared" si="46"/>
        <v/>
      </c>
      <c r="AO79" s="199" t="str">
        <f t="shared" si="46"/>
        <v/>
      </c>
      <c r="AP79" s="199" t="str">
        <f t="shared" si="46"/>
        <v/>
      </c>
      <c r="AQ79" s="199" t="str">
        <f t="shared" si="46"/>
        <v/>
      </c>
      <c r="AR79" s="199" t="str">
        <f t="shared" si="46"/>
        <v/>
      </c>
      <c r="AS79" s="199" t="str">
        <f t="shared" si="47"/>
        <v/>
      </c>
      <c r="AT79" s="199">
        <f t="shared" si="47"/>
        <v>9000</v>
      </c>
      <c r="AU79" s="199">
        <f t="shared" si="47"/>
        <v>9000</v>
      </c>
      <c r="AV79" s="199" t="str">
        <f t="shared" si="47"/>
        <v/>
      </c>
      <c r="AW79" s="199" t="str">
        <f t="shared" si="47"/>
        <v/>
      </c>
      <c r="AX79" s="199">
        <f t="shared" si="47"/>
        <v>9000</v>
      </c>
      <c r="AY79" s="199" t="str">
        <f t="shared" si="47"/>
        <v/>
      </c>
      <c r="AZ79" s="199" t="str">
        <f t="shared" si="47"/>
        <v/>
      </c>
      <c r="BA79" s="199" t="str">
        <f t="shared" si="47"/>
        <v/>
      </c>
      <c r="BB79" s="199">
        <f t="shared" si="47"/>
        <v>9000</v>
      </c>
      <c r="BC79" s="199">
        <f t="shared" si="47"/>
        <v>9000</v>
      </c>
      <c r="BD79" s="199" t="str">
        <f t="shared" si="47"/>
        <v/>
      </c>
      <c r="BE79" s="199" t="str">
        <f t="shared" si="47"/>
        <v/>
      </c>
      <c r="BF79" s="199" t="str">
        <f t="shared" si="47"/>
        <v/>
      </c>
      <c r="BG79" s="199" t="str">
        <f t="shared" si="47"/>
        <v/>
      </c>
      <c r="BH79" s="415">
        <f t="shared" si="9"/>
        <v>99000</v>
      </c>
    </row>
    <row r="80" spans="2:60" hidden="1" outlineLevel="1">
      <c r="B80" s="402" t="s">
        <v>333</v>
      </c>
      <c r="C80" s="403">
        <v>0.25</v>
      </c>
      <c r="D80" s="404">
        <f>$C80*D$68</f>
        <v>15000</v>
      </c>
      <c r="E80" s="404">
        <f t="shared" si="43"/>
        <v>15000</v>
      </c>
      <c r="F80" s="404">
        <f t="shared" si="43"/>
        <v>15000</v>
      </c>
      <c r="G80" s="404"/>
      <c r="H80" s="405"/>
      <c r="I80" s="405"/>
      <c r="J80" s="176"/>
      <c r="K80" s="176" t="str">
        <f t="shared" si="28"/>
        <v xml:space="preserve">Misc. site works </v>
      </c>
      <c r="L80" s="53"/>
      <c r="M80" s="393" t="str">
        <f t="shared" si="27"/>
        <v>none</v>
      </c>
      <c r="N80" s="210">
        <f t="shared" si="30"/>
        <v>0.25</v>
      </c>
      <c r="O80" s="206">
        <f t="shared" si="44"/>
        <v>15000</v>
      </c>
      <c r="P80" s="206" t="str">
        <f t="shared" si="44"/>
        <v/>
      </c>
      <c r="Q80" s="206" t="str">
        <f t="shared" si="44"/>
        <v/>
      </c>
      <c r="R80" s="206" t="str">
        <f t="shared" si="44"/>
        <v/>
      </c>
      <c r="S80" s="206" t="str">
        <f t="shared" si="44"/>
        <v/>
      </c>
      <c r="T80" s="206" t="str">
        <f t="shared" si="44"/>
        <v/>
      </c>
      <c r="U80" s="206" t="str">
        <f t="shared" si="44"/>
        <v/>
      </c>
      <c r="V80" s="206" t="str">
        <f t="shared" si="44"/>
        <v/>
      </c>
      <c r="W80" s="206" t="str">
        <f t="shared" si="44"/>
        <v/>
      </c>
      <c r="X80" s="206" t="str">
        <f t="shared" si="44"/>
        <v/>
      </c>
      <c r="Y80" s="206" t="str">
        <f t="shared" si="45"/>
        <v/>
      </c>
      <c r="Z80" s="206" t="str">
        <f t="shared" si="45"/>
        <v/>
      </c>
      <c r="AA80" s="206" t="str">
        <f t="shared" si="45"/>
        <v/>
      </c>
      <c r="AB80" s="206" t="str">
        <f t="shared" si="45"/>
        <v/>
      </c>
      <c r="AC80" s="206" t="str">
        <f t="shared" si="45"/>
        <v/>
      </c>
      <c r="AD80" s="206" t="str">
        <f t="shared" si="45"/>
        <v/>
      </c>
      <c r="AE80" s="206" t="str">
        <f t="shared" si="45"/>
        <v/>
      </c>
      <c r="AF80" s="206" t="str">
        <f t="shared" si="45"/>
        <v/>
      </c>
      <c r="AG80" s="206" t="str">
        <f t="shared" si="45"/>
        <v/>
      </c>
      <c r="AH80" s="206">
        <f t="shared" si="45"/>
        <v>15000</v>
      </c>
      <c r="AI80" s="206" t="str">
        <f t="shared" si="46"/>
        <v/>
      </c>
      <c r="AJ80" s="206" t="str">
        <f t="shared" si="46"/>
        <v/>
      </c>
      <c r="AK80" s="206" t="str">
        <f t="shared" si="46"/>
        <v/>
      </c>
      <c r="AL80" s="206" t="str">
        <f t="shared" si="46"/>
        <v/>
      </c>
      <c r="AM80" s="206" t="str">
        <f t="shared" si="46"/>
        <v/>
      </c>
      <c r="AN80" s="206" t="str">
        <f t="shared" si="46"/>
        <v/>
      </c>
      <c r="AO80" s="206" t="str">
        <f t="shared" si="46"/>
        <v/>
      </c>
      <c r="AP80" s="206" t="str">
        <f t="shared" si="46"/>
        <v/>
      </c>
      <c r="AQ80" s="206" t="str">
        <f t="shared" si="46"/>
        <v/>
      </c>
      <c r="AR80" s="206" t="str">
        <f t="shared" si="46"/>
        <v/>
      </c>
      <c r="AS80" s="206" t="str">
        <f t="shared" si="47"/>
        <v/>
      </c>
      <c r="AT80" s="206" t="str">
        <f t="shared" si="47"/>
        <v/>
      </c>
      <c r="AU80" s="206" t="str">
        <f t="shared" si="47"/>
        <v/>
      </c>
      <c r="AV80" s="206" t="str">
        <f t="shared" si="47"/>
        <v/>
      </c>
      <c r="AW80" s="206" t="str">
        <f t="shared" si="47"/>
        <v/>
      </c>
      <c r="AX80" s="206" t="str">
        <f t="shared" si="47"/>
        <v/>
      </c>
      <c r="AY80" s="206" t="str">
        <f t="shared" si="47"/>
        <v/>
      </c>
      <c r="AZ80" s="206" t="str">
        <f t="shared" si="47"/>
        <v/>
      </c>
      <c r="BA80" s="206" t="str">
        <f t="shared" si="47"/>
        <v/>
      </c>
      <c r="BB80" s="206" t="str">
        <f t="shared" si="47"/>
        <v/>
      </c>
      <c r="BC80" s="206" t="str">
        <f t="shared" si="47"/>
        <v/>
      </c>
      <c r="BD80" s="206" t="str">
        <f t="shared" si="47"/>
        <v/>
      </c>
      <c r="BE80" s="206" t="str">
        <f t="shared" si="47"/>
        <v/>
      </c>
      <c r="BF80" s="206" t="str">
        <f t="shared" si="47"/>
        <v/>
      </c>
      <c r="BG80" s="206" t="str">
        <f t="shared" si="47"/>
        <v/>
      </c>
      <c r="BH80" s="417">
        <f t="shared" si="9"/>
        <v>30000</v>
      </c>
    </row>
    <row r="81" spans="2:60" s="56" customFormat="1">
      <c r="B81" s="56" t="s">
        <v>334</v>
      </c>
      <c r="D81" s="161">
        <f>ROUNDUP(I84,-3)</f>
        <v>77000</v>
      </c>
      <c r="E81" s="161">
        <f>D81</f>
        <v>77000</v>
      </c>
      <c r="F81" s="161">
        <f>E81</f>
        <v>77000</v>
      </c>
      <c r="G81" s="161"/>
      <c r="I81" s="56" t="s">
        <v>335</v>
      </c>
      <c r="J81" s="192">
        <f>F68/F$105</f>
        <v>0.10909090909090909</v>
      </c>
      <c r="K81" s="359"/>
      <c r="L81" s="194"/>
      <c r="M81" s="156" t="str">
        <f t="shared" si="27"/>
        <v>Civil Subtotal</v>
      </c>
      <c r="O81" s="161">
        <f>ROUNDUP(SUM(O68:O80),-3)</f>
        <v>75000</v>
      </c>
      <c r="P81" s="161">
        <f t="shared" ref="P81:BG81" si="48">ROUNDUP(SUM(P68:P80),-3)</f>
        <v>66000</v>
      </c>
      <c r="Q81" s="161">
        <f t="shared" si="48"/>
        <v>92000</v>
      </c>
      <c r="R81" s="161">
        <f t="shared" si="48"/>
        <v>74000</v>
      </c>
      <c r="S81" s="161">
        <f t="shared" si="48"/>
        <v>75000</v>
      </c>
      <c r="T81" s="161">
        <f t="shared" si="48"/>
        <v>71000</v>
      </c>
      <c r="U81" s="161">
        <f t="shared" si="48"/>
        <v>66000</v>
      </c>
      <c r="V81" s="161">
        <f t="shared" si="48"/>
        <v>75000</v>
      </c>
      <c r="W81" s="161">
        <f t="shared" si="48"/>
        <v>81000</v>
      </c>
      <c r="X81" s="161">
        <f t="shared" si="48"/>
        <v>71000</v>
      </c>
      <c r="Y81" s="161">
        <f t="shared" si="48"/>
        <v>69000</v>
      </c>
      <c r="Z81" s="161">
        <f t="shared" si="48"/>
        <v>60000</v>
      </c>
      <c r="AA81" s="161">
        <f t="shared" si="48"/>
        <v>72000</v>
      </c>
      <c r="AB81" s="161">
        <f t="shared" si="48"/>
        <v>66000</v>
      </c>
      <c r="AC81" s="161">
        <f t="shared" si="48"/>
        <v>81000</v>
      </c>
      <c r="AD81" s="161">
        <f t="shared" si="48"/>
        <v>107000</v>
      </c>
      <c r="AE81" s="161">
        <f t="shared" si="48"/>
        <v>102000</v>
      </c>
      <c r="AF81" s="161">
        <f t="shared" si="48"/>
        <v>69000</v>
      </c>
      <c r="AG81" s="161">
        <f t="shared" si="48"/>
        <v>75000</v>
      </c>
      <c r="AH81" s="161">
        <f t="shared" si="48"/>
        <v>86000</v>
      </c>
      <c r="AI81" s="161">
        <f t="shared" si="48"/>
        <v>72000</v>
      </c>
      <c r="AJ81" s="161">
        <f t="shared" si="48"/>
        <v>66000</v>
      </c>
      <c r="AK81" s="161">
        <f t="shared" si="48"/>
        <v>92000</v>
      </c>
      <c r="AL81" s="161">
        <f t="shared" si="48"/>
        <v>66000</v>
      </c>
      <c r="AM81" s="161">
        <f t="shared" si="48"/>
        <v>71000</v>
      </c>
      <c r="AN81" s="161">
        <f t="shared" si="48"/>
        <v>87000</v>
      </c>
      <c r="AO81" s="161">
        <f t="shared" si="48"/>
        <v>96000</v>
      </c>
      <c r="AP81" s="161">
        <f t="shared" si="48"/>
        <v>90000</v>
      </c>
      <c r="AQ81" s="161">
        <f t="shared" si="48"/>
        <v>90000</v>
      </c>
      <c r="AR81" s="161">
        <f t="shared" si="48"/>
        <v>72000</v>
      </c>
      <c r="AS81" s="161">
        <f t="shared" si="48"/>
        <v>71000</v>
      </c>
      <c r="AT81" s="161">
        <f t="shared" si="48"/>
        <v>69000</v>
      </c>
      <c r="AU81" s="161">
        <f t="shared" si="48"/>
        <v>81000</v>
      </c>
      <c r="AV81" s="161">
        <f t="shared" si="48"/>
        <v>92000</v>
      </c>
      <c r="AW81" s="161">
        <f t="shared" si="48"/>
        <v>71000</v>
      </c>
      <c r="AX81" s="161">
        <f t="shared" si="48"/>
        <v>75000</v>
      </c>
      <c r="AY81" s="161">
        <f t="shared" si="48"/>
        <v>71000</v>
      </c>
      <c r="AZ81" s="161">
        <f t="shared" si="48"/>
        <v>71000</v>
      </c>
      <c r="BA81" s="161">
        <f t="shared" si="48"/>
        <v>98000</v>
      </c>
      <c r="BB81" s="161">
        <f t="shared" si="48"/>
        <v>75000</v>
      </c>
      <c r="BC81" s="161">
        <f t="shared" si="48"/>
        <v>75000</v>
      </c>
      <c r="BD81" s="161">
        <f t="shared" si="48"/>
        <v>66000</v>
      </c>
      <c r="BE81" s="161">
        <f t="shared" si="48"/>
        <v>71000</v>
      </c>
      <c r="BF81" s="161">
        <f t="shared" si="48"/>
        <v>60000</v>
      </c>
      <c r="BG81" s="161">
        <f t="shared" si="48"/>
        <v>60000</v>
      </c>
      <c r="BH81" s="413">
        <f t="shared" si="9"/>
        <v>3441000</v>
      </c>
    </row>
    <row r="82" spans="2:60">
      <c r="B82" s="164"/>
      <c r="H82"/>
      <c r="I82"/>
      <c r="J82" s="53"/>
      <c r="L82" s="53"/>
      <c r="BH82" s="412"/>
    </row>
    <row r="83" spans="2:60" s="56" customFormat="1" hidden="1" collapsed="1">
      <c r="B83" s="56" t="s">
        <v>336</v>
      </c>
      <c r="D83" s="161"/>
      <c r="E83" s="161"/>
      <c r="F83" s="161"/>
      <c r="G83" s="161"/>
      <c r="J83" s="192"/>
      <c r="K83" s="359"/>
      <c r="L83" s="194"/>
      <c r="M83" s="156" t="str">
        <f>B83</f>
        <v>Civil markup breakdown</v>
      </c>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413"/>
    </row>
    <row r="84" spans="2:60" s="56" customFormat="1" ht="90" hidden="1" outlineLevel="1">
      <c r="B84" s="203" t="s">
        <v>337</v>
      </c>
      <c r="C84" s="53" t="s">
        <v>338</v>
      </c>
      <c r="D84" s="161">
        <f>SUM(D68:D69,D73,D76,D80)</f>
        <v>116000</v>
      </c>
      <c r="E84" s="161">
        <f>SUM(E68:E69,E73,E76,E80)</f>
        <v>116000</v>
      </c>
      <c r="F84" s="161">
        <f>SUM(F68:F69,F73,F76,F80)</f>
        <v>116000</v>
      </c>
      <c r="G84" s="161"/>
      <c r="H84" s="56" t="s">
        <v>339</v>
      </c>
      <c r="I84" s="166">
        <f>AVERAGE(O81:BG81)</f>
        <v>76466.666666666672</v>
      </c>
      <c r="J84" s="192"/>
      <c r="K84" s="359"/>
      <c r="L84" s="194"/>
      <c r="M84" s="156"/>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413"/>
    </row>
    <row r="85" spans="2:60" s="56" customFormat="1" hidden="1" outlineLevel="1">
      <c r="B85" s="203" t="s">
        <v>340</v>
      </c>
      <c r="D85" s="161">
        <f>SUM(D68:D69,D72,D75,D79)</f>
        <v>95000</v>
      </c>
      <c r="E85" s="161">
        <f>SUM(E68:E69,E72,E75,E79)</f>
        <v>95000</v>
      </c>
      <c r="F85" s="161">
        <f>SUM(F68:F69,F72,F75,F79)</f>
        <v>95000</v>
      </c>
      <c r="G85" s="161"/>
      <c r="J85" s="192"/>
      <c r="K85" s="359"/>
      <c r="L85" s="194"/>
      <c r="M85" s="156"/>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413"/>
    </row>
    <row r="86" spans="2:60" s="56" customFormat="1" hidden="1" outlineLevel="1">
      <c r="B86" s="203" t="s">
        <v>341</v>
      </c>
      <c r="D86" s="161">
        <f>SUM(D68:D69,D71,D75,D78)</f>
        <v>83000</v>
      </c>
      <c r="E86" s="161">
        <f>SUM(E68:E69,E71,E75,E78)</f>
        <v>83000</v>
      </c>
      <c r="F86" s="161">
        <f>SUM(F68:F69,F71,F75,F78)</f>
        <v>83000</v>
      </c>
      <c r="G86" s="161"/>
      <c r="J86" s="192"/>
      <c r="K86" s="359"/>
      <c r="L86" s="194"/>
      <c r="M86" s="156"/>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413"/>
    </row>
    <row r="87" spans="2:60" s="56" customFormat="1" hidden="1" outlineLevel="1">
      <c r="B87" s="203" t="s">
        <v>342</v>
      </c>
      <c r="D87" s="161">
        <f>SUM(D68)</f>
        <v>60000</v>
      </c>
      <c r="E87" s="161">
        <f>SUM(E68)</f>
        <v>60000</v>
      </c>
      <c r="F87" s="161">
        <f>SUM(F68)</f>
        <v>60000</v>
      </c>
      <c r="G87" s="161"/>
      <c r="J87" s="192"/>
      <c r="K87" s="359"/>
      <c r="L87" s="194"/>
      <c r="M87" s="156"/>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413"/>
    </row>
    <row r="88" spans="2:60" s="56" customFormat="1" hidden="1" outlineLevel="1">
      <c r="D88" s="161"/>
      <c r="E88" s="161"/>
      <c r="F88" s="161"/>
      <c r="G88" s="161"/>
      <c r="J88" s="192"/>
      <c r="K88" s="359"/>
      <c r="L88" s="194"/>
      <c r="M88" s="156"/>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413"/>
    </row>
    <row r="89" spans="2:60" s="56" customFormat="1">
      <c r="D89" s="161"/>
      <c r="E89" s="161"/>
      <c r="F89" s="161"/>
      <c r="G89" s="161"/>
      <c r="J89" s="192"/>
      <c r="K89" s="359"/>
      <c r="L89" s="194"/>
      <c r="M89" s="156"/>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413"/>
    </row>
    <row r="90" spans="2:60" collapsed="1">
      <c r="B90" s="56" t="s">
        <v>96</v>
      </c>
      <c r="C90" s="160"/>
      <c r="M90" s="156" t="str">
        <f>B90</f>
        <v>Electrical</v>
      </c>
      <c r="N90" s="56"/>
      <c r="BH90" s="412"/>
    </row>
    <row r="91" spans="2:60" ht="79.349999999999994" hidden="1" customHeight="1" outlineLevel="1">
      <c r="B91" s="406" t="s">
        <v>343</v>
      </c>
      <c r="C91" s="173"/>
      <c r="D91" s="174">
        <f>ROUNDUP(0.15*D$57,-3)</f>
        <v>30000</v>
      </c>
      <c r="E91" s="174">
        <f>D91</f>
        <v>30000</v>
      </c>
      <c r="F91" s="174">
        <f>ROUNDUP(0.15*F$57,-3)</f>
        <v>43000</v>
      </c>
      <c r="G91" s="174"/>
      <c r="H91" s="225"/>
      <c r="I91" s="176"/>
      <c r="J91" s="226"/>
      <c r="K91" s="225" t="str">
        <f>B190</f>
        <v xml:space="preserve">Misc. electrical </v>
      </c>
      <c r="L91" s="195"/>
      <c r="M91" s="392" t="str">
        <f>B91</f>
        <v>Electrical allowance (lighting, electrial connections &amp; wiring) - not including any works to bring existing electrical installations in line with current code requirements</v>
      </c>
      <c r="N91" s="178"/>
      <c r="O91" s="174">
        <f t="shared" ref="O91:BG91" si="49">INDEX($D91:$F91,MATCH(O$8,$D$5:$F$5,0))</f>
        <v>30000</v>
      </c>
      <c r="P91" s="174">
        <f t="shared" si="49"/>
        <v>30000</v>
      </c>
      <c r="Q91" s="174">
        <f t="shared" si="49"/>
        <v>30000</v>
      </c>
      <c r="R91" s="174">
        <f t="shared" si="49"/>
        <v>43000</v>
      </c>
      <c r="S91" s="174">
        <f t="shared" si="49"/>
        <v>30000</v>
      </c>
      <c r="T91" s="174">
        <f t="shared" si="49"/>
        <v>43000</v>
      </c>
      <c r="U91" s="174">
        <f t="shared" si="49"/>
        <v>30000</v>
      </c>
      <c r="V91" s="174">
        <f t="shared" si="49"/>
        <v>30000</v>
      </c>
      <c r="W91" s="174">
        <f t="shared" si="49"/>
        <v>30000</v>
      </c>
      <c r="X91" s="174">
        <f t="shared" si="49"/>
        <v>30000</v>
      </c>
      <c r="Y91" s="174">
        <f t="shared" si="49"/>
        <v>30000</v>
      </c>
      <c r="Z91" s="174">
        <f t="shared" si="49"/>
        <v>30000</v>
      </c>
      <c r="AA91" s="174">
        <f t="shared" si="49"/>
        <v>30000</v>
      </c>
      <c r="AB91" s="174">
        <f t="shared" si="49"/>
        <v>30000</v>
      </c>
      <c r="AC91" s="174">
        <f t="shared" si="49"/>
        <v>30000</v>
      </c>
      <c r="AD91" s="174">
        <f t="shared" si="49"/>
        <v>30000</v>
      </c>
      <c r="AE91" s="174">
        <f t="shared" si="49"/>
        <v>30000</v>
      </c>
      <c r="AF91" s="174">
        <f t="shared" si="49"/>
        <v>43000</v>
      </c>
      <c r="AG91" s="174">
        <f t="shared" si="49"/>
        <v>43000</v>
      </c>
      <c r="AH91" s="174">
        <f t="shared" si="49"/>
        <v>30000</v>
      </c>
      <c r="AI91" s="174">
        <f t="shared" si="49"/>
        <v>43000</v>
      </c>
      <c r="AJ91" s="174">
        <f t="shared" si="49"/>
        <v>43000</v>
      </c>
      <c r="AK91" s="174">
        <f t="shared" si="49"/>
        <v>30000</v>
      </c>
      <c r="AL91" s="174">
        <f t="shared" si="49"/>
        <v>30000</v>
      </c>
      <c r="AM91" s="174">
        <f t="shared" si="49"/>
        <v>30000</v>
      </c>
      <c r="AN91" s="174">
        <f t="shared" si="49"/>
        <v>30000</v>
      </c>
      <c r="AO91" s="174">
        <f t="shared" si="49"/>
        <v>30000</v>
      </c>
      <c r="AP91" s="174">
        <f t="shared" si="49"/>
        <v>30000</v>
      </c>
      <c r="AQ91" s="174">
        <f t="shared" si="49"/>
        <v>30000</v>
      </c>
      <c r="AR91" s="174">
        <f t="shared" si="49"/>
        <v>30000</v>
      </c>
      <c r="AS91" s="174">
        <f t="shared" si="49"/>
        <v>30000</v>
      </c>
      <c r="AT91" s="174">
        <f t="shared" si="49"/>
        <v>30000</v>
      </c>
      <c r="AU91" s="174">
        <f t="shared" si="49"/>
        <v>30000</v>
      </c>
      <c r="AV91" s="174">
        <f t="shared" si="49"/>
        <v>30000</v>
      </c>
      <c r="AW91" s="174">
        <f t="shared" si="49"/>
        <v>30000</v>
      </c>
      <c r="AX91" s="174">
        <f t="shared" si="49"/>
        <v>30000</v>
      </c>
      <c r="AY91" s="174">
        <f t="shared" si="49"/>
        <v>30000</v>
      </c>
      <c r="AZ91" s="174">
        <f t="shared" si="49"/>
        <v>43000</v>
      </c>
      <c r="BA91" s="174">
        <f t="shared" si="49"/>
        <v>30000</v>
      </c>
      <c r="BB91" s="174">
        <f t="shared" si="49"/>
        <v>30000</v>
      </c>
      <c r="BC91" s="174">
        <f t="shared" si="49"/>
        <v>30000</v>
      </c>
      <c r="BD91" s="174">
        <f t="shared" si="49"/>
        <v>43000</v>
      </c>
      <c r="BE91" s="174">
        <f t="shared" si="49"/>
        <v>30000</v>
      </c>
      <c r="BF91" s="174">
        <f t="shared" si="49"/>
        <v>30000</v>
      </c>
      <c r="BG91" s="174">
        <f t="shared" si="49"/>
        <v>30000</v>
      </c>
      <c r="BH91" s="416">
        <f t="shared" si="9"/>
        <v>1454000</v>
      </c>
    </row>
    <row r="92" spans="2:60">
      <c r="B92" s="56" t="s">
        <v>344</v>
      </c>
      <c r="C92" s="160"/>
      <c r="D92" s="161">
        <f>D91</f>
        <v>30000</v>
      </c>
      <c r="E92" s="161">
        <f>E91</f>
        <v>30000</v>
      </c>
      <c r="F92" s="161">
        <f>F91</f>
        <v>43000</v>
      </c>
      <c r="G92" s="161"/>
      <c r="H92" s="169"/>
      <c r="J92" s="192">
        <f>F92/F$105</f>
        <v>7.8181818181818186E-2</v>
      </c>
      <c r="K92" s="359"/>
      <c r="L92" s="195"/>
      <c r="M92" s="156" t="str">
        <f>B92</f>
        <v>Electrical Subtotal</v>
      </c>
      <c r="N92" s="56"/>
      <c r="O92" s="201">
        <f>SUM(O91)</f>
        <v>30000</v>
      </c>
      <c r="P92" s="201">
        <f t="shared" ref="P92:BG92" si="50">SUM(P91)</f>
        <v>30000</v>
      </c>
      <c r="Q92" s="201">
        <f t="shared" si="50"/>
        <v>30000</v>
      </c>
      <c r="R92" s="201">
        <f t="shared" si="50"/>
        <v>43000</v>
      </c>
      <c r="S92" s="201">
        <f t="shared" si="50"/>
        <v>30000</v>
      </c>
      <c r="T92" s="201">
        <f t="shared" si="50"/>
        <v>43000</v>
      </c>
      <c r="U92" s="201">
        <f t="shared" si="50"/>
        <v>30000</v>
      </c>
      <c r="V92" s="201">
        <f t="shared" si="50"/>
        <v>30000</v>
      </c>
      <c r="W92" s="201">
        <f t="shared" si="50"/>
        <v>30000</v>
      </c>
      <c r="X92" s="201">
        <f t="shared" si="50"/>
        <v>30000</v>
      </c>
      <c r="Y92" s="201">
        <f t="shared" si="50"/>
        <v>30000</v>
      </c>
      <c r="Z92" s="201">
        <f t="shared" si="50"/>
        <v>30000</v>
      </c>
      <c r="AA92" s="201">
        <f t="shared" si="50"/>
        <v>30000</v>
      </c>
      <c r="AB92" s="201">
        <f t="shared" si="50"/>
        <v>30000</v>
      </c>
      <c r="AC92" s="201">
        <f t="shared" si="50"/>
        <v>30000</v>
      </c>
      <c r="AD92" s="201">
        <f t="shared" si="50"/>
        <v>30000</v>
      </c>
      <c r="AE92" s="201">
        <f t="shared" si="50"/>
        <v>30000</v>
      </c>
      <c r="AF92" s="201">
        <f t="shared" si="50"/>
        <v>43000</v>
      </c>
      <c r="AG92" s="201">
        <f t="shared" si="50"/>
        <v>43000</v>
      </c>
      <c r="AH92" s="201">
        <f t="shared" si="50"/>
        <v>30000</v>
      </c>
      <c r="AI92" s="201">
        <f t="shared" si="50"/>
        <v>43000</v>
      </c>
      <c r="AJ92" s="201">
        <f t="shared" si="50"/>
        <v>43000</v>
      </c>
      <c r="AK92" s="201">
        <f t="shared" si="50"/>
        <v>30000</v>
      </c>
      <c r="AL92" s="201">
        <f t="shared" si="50"/>
        <v>30000</v>
      </c>
      <c r="AM92" s="201">
        <f t="shared" si="50"/>
        <v>30000</v>
      </c>
      <c r="AN92" s="201">
        <f t="shared" si="50"/>
        <v>30000</v>
      </c>
      <c r="AO92" s="201">
        <f t="shared" si="50"/>
        <v>30000</v>
      </c>
      <c r="AP92" s="201">
        <f t="shared" si="50"/>
        <v>30000</v>
      </c>
      <c r="AQ92" s="201">
        <f t="shared" si="50"/>
        <v>30000</v>
      </c>
      <c r="AR92" s="201">
        <f t="shared" si="50"/>
        <v>30000</v>
      </c>
      <c r="AS92" s="201">
        <f t="shared" si="50"/>
        <v>30000</v>
      </c>
      <c r="AT92" s="201">
        <f t="shared" si="50"/>
        <v>30000</v>
      </c>
      <c r="AU92" s="201">
        <f t="shared" si="50"/>
        <v>30000</v>
      </c>
      <c r="AV92" s="201">
        <f t="shared" si="50"/>
        <v>30000</v>
      </c>
      <c r="AW92" s="201">
        <f t="shared" si="50"/>
        <v>30000</v>
      </c>
      <c r="AX92" s="201">
        <f t="shared" si="50"/>
        <v>30000</v>
      </c>
      <c r="AY92" s="201">
        <f t="shared" si="50"/>
        <v>30000</v>
      </c>
      <c r="AZ92" s="201">
        <f t="shared" si="50"/>
        <v>43000</v>
      </c>
      <c r="BA92" s="201">
        <f t="shared" si="50"/>
        <v>30000</v>
      </c>
      <c r="BB92" s="201">
        <f t="shared" si="50"/>
        <v>30000</v>
      </c>
      <c r="BC92" s="201">
        <f t="shared" si="50"/>
        <v>30000</v>
      </c>
      <c r="BD92" s="201">
        <f t="shared" si="50"/>
        <v>43000</v>
      </c>
      <c r="BE92" s="201">
        <f t="shared" si="50"/>
        <v>30000</v>
      </c>
      <c r="BF92" s="201">
        <f t="shared" si="50"/>
        <v>30000</v>
      </c>
      <c r="BG92" s="201">
        <f t="shared" si="50"/>
        <v>30000</v>
      </c>
      <c r="BH92" s="414">
        <f t="shared" si="9"/>
        <v>1454000</v>
      </c>
    </row>
    <row r="93" spans="2:60">
      <c r="B93" s="56"/>
      <c r="C93" s="160"/>
      <c r="D93" s="55"/>
      <c r="E93" s="55"/>
      <c r="F93" s="55"/>
      <c r="G93" s="55"/>
      <c r="H93" s="169"/>
      <c r="M93" s="156"/>
      <c r="N93" s="56"/>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413"/>
    </row>
    <row r="94" spans="2:60" collapsed="1">
      <c r="B94" s="56" t="s">
        <v>97</v>
      </c>
      <c r="C94" s="160"/>
      <c r="F94" s="137"/>
      <c r="M94" s="156" t="str">
        <f>B94</f>
        <v>I&amp;C</v>
      </c>
      <c r="N94" s="56"/>
      <c r="BH94" s="412"/>
    </row>
    <row r="95" spans="2:60" ht="45" hidden="1" outlineLevel="1">
      <c r="B95" s="164" t="s">
        <v>345</v>
      </c>
      <c r="C95" s="160"/>
      <c r="D95" s="168">
        <v>50000</v>
      </c>
      <c r="E95" s="168">
        <f>D95</f>
        <v>50000</v>
      </c>
      <c r="F95" s="168">
        <f>E95</f>
        <v>50000</v>
      </c>
      <c r="G95" s="168"/>
      <c r="H95" s="202" t="s">
        <v>298</v>
      </c>
      <c r="I95" s="186" t="s">
        <v>346</v>
      </c>
      <c r="J95" s="195"/>
      <c r="K95" s="347" t="s">
        <v>311</v>
      </c>
      <c r="L95" s="195"/>
      <c r="M95" s="218" t="str">
        <f>B95</f>
        <v>I&amp;C integration allowance</v>
      </c>
      <c r="N95" s="56"/>
      <c r="O95" s="168">
        <f t="shared" ref="O95:BG95" si="51">INDEX($D95:$F95,MATCH(O$8,$D$5:$F$5,0))</f>
        <v>50000</v>
      </c>
      <c r="P95" s="168">
        <f t="shared" si="51"/>
        <v>50000</v>
      </c>
      <c r="Q95" s="168">
        <f t="shared" si="51"/>
        <v>50000</v>
      </c>
      <c r="R95" s="168">
        <f t="shared" si="51"/>
        <v>50000</v>
      </c>
      <c r="S95" s="168">
        <f t="shared" si="51"/>
        <v>50000</v>
      </c>
      <c r="T95" s="168">
        <f t="shared" si="51"/>
        <v>50000</v>
      </c>
      <c r="U95" s="168">
        <f t="shared" si="51"/>
        <v>50000</v>
      </c>
      <c r="V95" s="168">
        <f t="shared" si="51"/>
        <v>50000</v>
      </c>
      <c r="W95" s="168">
        <f t="shared" si="51"/>
        <v>50000</v>
      </c>
      <c r="X95" s="168">
        <f t="shared" si="51"/>
        <v>50000</v>
      </c>
      <c r="Y95" s="168">
        <f t="shared" si="51"/>
        <v>50000</v>
      </c>
      <c r="Z95" s="168">
        <f t="shared" si="51"/>
        <v>50000</v>
      </c>
      <c r="AA95" s="168">
        <f t="shared" si="51"/>
        <v>50000</v>
      </c>
      <c r="AB95" s="168">
        <f t="shared" si="51"/>
        <v>50000</v>
      </c>
      <c r="AC95" s="168">
        <f t="shared" si="51"/>
        <v>50000</v>
      </c>
      <c r="AD95" s="168">
        <f t="shared" si="51"/>
        <v>50000</v>
      </c>
      <c r="AE95" s="168">
        <f t="shared" si="51"/>
        <v>50000</v>
      </c>
      <c r="AF95" s="168">
        <f t="shared" si="51"/>
        <v>50000</v>
      </c>
      <c r="AG95" s="168">
        <f t="shared" si="51"/>
        <v>50000</v>
      </c>
      <c r="AH95" s="168">
        <f t="shared" si="51"/>
        <v>50000</v>
      </c>
      <c r="AI95" s="168">
        <f t="shared" si="51"/>
        <v>50000</v>
      </c>
      <c r="AJ95" s="168">
        <f t="shared" si="51"/>
        <v>50000</v>
      </c>
      <c r="AK95" s="168">
        <f t="shared" si="51"/>
        <v>50000</v>
      </c>
      <c r="AL95" s="168">
        <f t="shared" si="51"/>
        <v>50000</v>
      </c>
      <c r="AM95" s="168">
        <f t="shared" si="51"/>
        <v>50000</v>
      </c>
      <c r="AN95" s="168">
        <f t="shared" si="51"/>
        <v>50000</v>
      </c>
      <c r="AO95" s="168">
        <f t="shared" si="51"/>
        <v>50000</v>
      </c>
      <c r="AP95" s="168">
        <f t="shared" si="51"/>
        <v>50000</v>
      </c>
      <c r="AQ95" s="168">
        <f t="shared" si="51"/>
        <v>50000</v>
      </c>
      <c r="AR95" s="168">
        <f t="shared" si="51"/>
        <v>50000</v>
      </c>
      <c r="AS95" s="168">
        <f t="shared" si="51"/>
        <v>50000</v>
      </c>
      <c r="AT95" s="168">
        <f t="shared" si="51"/>
        <v>50000</v>
      </c>
      <c r="AU95" s="168">
        <f t="shared" si="51"/>
        <v>50000</v>
      </c>
      <c r="AV95" s="168">
        <f t="shared" si="51"/>
        <v>50000</v>
      </c>
      <c r="AW95" s="168">
        <f t="shared" si="51"/>
        <v>50000</v>
      </c>
      <c r="AX95" s="168">
        <f t="shared" si="51"/>
        <v>50000</v>
      </c>
      <c r="AY95" s="168">
        <f t="shared" si="51"/>
        <v>50000</v>
      </c>
      <c r="AZ95" s="168">
        <f t="shared" si="51"/>
        <v>50000</v>
      </c>
      <c r="BA95" s="168">
        <f t="shared" si="51"/>
        <v>50000</v>
      </c>
      <c r="BB95" s="168">
        <f t="shared" si="51"/>
        <v>50000</v>
      </c>
      <c r="BC95" s="168">
        <f t="shared" si="51"/>
        <v>50000</v>
      </c>
      <c r="BD95" s="168">
        <f t="shared" si="51"/>
        <v>50000</v>
      </c>
      <c r="BE95" s="168">
        <f t="shared" si="51"/>
        <v>50000</v>
      </c>
      <c r="BF95" s="168">
        <f t="shared" si="51"/>
        <v>50000</v>
      </c>
      <c r="BG95" s="168">
        <f t="shared" si="51"/>
        <v>50000</v>
      </c>
      <c r="BH95" s="414">
        <f t="shared" si="9"/>
        <v>2250000</v>
      </c>
    </row>
    <row r="96" spans="2:60" ht="30" hidden="1" outlineLevel="1">
      <c r="B96" s="177" t="s">
        <v>347</v>
      </c>
      <c r="C96" s="173"/>
      <c r="D96" s="204">
        <v>10000</v>
      </c>
      <c r="E96" s="204">
        <v>10000</v>
      </c>
      <c r="F96" s="204">
        <v>10000</v>
      </c>
      <c r="G96" s="204"/>
      <c r="H96" s="176" t="s">
        <v>348</v>
      </c>
      <c r="I96" s="176" t="s">
        <v>349</v>
      </c>
      <c r="J96" s="338"/>
      <c r="K96" s="360" t="str">
        <f>B189</f>
        <v>Analyzers, indicators, analytical instruments and misc. instrumentation</v>
      </c>
      <c r="L96" s="195"/>
      <c r="M96" s="392"/>
      <c r="N96" s="178"/>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419">
        <f t="shared" si="9"/>
        <v>0</v>
      </c>
    </row>
    <row r="97" spans="2:60">
      <c r="B97" s="56" t="s">
        <v>350</v>
      </c>
      <c r="C97" s="160"/>
      <c r="D97" s="161">
        <f>SUM(D95:D96)</f>
        <v>60000</v>
      </c>
      <c r="E97" s="161">
        <f>SUM(E95:E96)</f>
        <v>60000</v>
      </c>
      <c r="F97" s="161">
        <f>SUM(F95:F96)</f>
        <v>60000</v>
      </c>
      <c r="G97" s="161"/>
      <c r="H97" s="157"/>
      <c r="J97" s="136">
        <f>F97/F$105</f>
        <v>0.10909090909090909</v>
      </c>
      <c r="K97" s="169"/>
      <c r="L97" s="195"/>
      <c r="M97" s="156" t="str">
        <f>B97</f>
        <v>I&amp;C Subtotal</v>
      </c>
      <c r="N97" s="56"/>
      <c r="O97" s="201">
        <f t="shared" ref="O97:BG97" si="52">SUM(O95:O96)</f>
        <v>50000</v>
      </c>
      <c r="P97" s="201">
        <f t="shared" si="52"/>
        <v>50000</v>
      </c>
      <c r="Q97" s="201">
        <f t="shared" si="52"/>
        <v>50000</v>
      </c>
      <c r="R97" s="201">
        <f t="shared" si="52"/>
        <v>50000</v>
      </c>
      <c r="S97" s="201">
        <f t="shared" si="52"/>
        <v>50000</v>
      </c>
      <c r="T97" s="201">
        <f t="shared" si="52"/>
        <v>50000</v>
      </c>
      <c r="U97" s="201">
        <f t="shared" si="52"/>
        <v>50000</v>
      </c>
      <c r="V97" s="201">
        <f t="shared" si="52"/>
        <v>50000</v>
      </c>
      <c r="W97" s="201">
        <f t="shared" si="52"/>
        <v>50000</v>
      </c>
      <c r="X97" s="201">
        <f t="shared" si="52"/>
        <v>50000</v>
      </c>
      <c r="Y97" s="201">
        <f t="shared" si="52"/>
        <v>50000</v>
      </c>
      <c r="Z97" s="201">
        <f t="shared" si="52"/>
        <v>50000</v>
      </c>
      <c r="AA97" s="201">
        <f t="shared" si="52"/>
        <v>50000</v>
      </c>
      <c r="AB97" s="201">
        <f t="shared" si="52"/>
        <v>50000</v>
      </c>
      <c r="AC97" s="201">
        <f t="shared" si="52"/>
        <v>50000</v>
      </c>
      <c r="AD97" s="201">
        <f t="shared" si="52"/>
        <v>50000</v>
      </c>
      <c r="AE97" s="201">
        <f t="shared" si="52"/>
        <v>50000</v>
      </c>
      <c r="AF97" s="201">
        <f t="shared" si="52"/>
        <v>50000</v>
      </c>
      <c r="AG97" s="201">
        <f t="shared" si="52"/>
        <v>50000</v>
      </c>
      <c r="AH97" s="201">
        <f t="shared" si="52"/>
        <v>50000</v>
      </c>
      <c r="AI97" s="201">
        <f t="shared" si="52"/>
        <v>50000</v>
      </c>
      <c r="AJ97" s="201">
        <f t="shared" si="52"/>
        <v>50000</v>
      </c>
      <c r="AK97" s="201">
        <f t="shared" si="52"/>
        <v>50000</v>
      </c>
      <c r="AL97" s="201">
        <f t="shared" si="52"/>
        <v>50000</v>
      </c>
      <c r="AM97" s="201">
        <f t="shared" si="52"/>
        <v>50000</v>
      </c>
      <c r="AN97" s="201">
        <f t="shared" si="52"/>
        <v>50000</v>
      </c>
      <c r="AO97" s="201">
        <f t="shared" si="52"/>
        <v>50000</v>
      </c>
      <c r="AP97" s="201">
        <f t="shared" si="52"/>
        <v>50000</v>
      </c>
      <c r="AQ97" s="201">
        <f t="shared" si="52"/>
        <v>50000</v>
      </c>
      <c r="AR97" s="201">
        <f t="shared" si="52"/>
        <v>50000</v>
      </c>
      <c r="AS97" s="201">
        <f t="shared" si="52"/>
        <v>50000</v>
      </c>
      <c r="AT97" s="201">
        <f t="shared" si="52"/>
        <v>50000</v>
      </c>
      <c r="AU97" s="201">
        <f t="shared" si="52"/>
        <v>50000</v>
      </c>
      <c r="AV97" s="201">
        <f t="shared" si="52"/>
        <v>50000</v>
      </c>
      <c r="AW97" s="201">
        <f t="shared" si="52"/>
        <v>50000</v>
      </c>
      <c r="AX97" s="201">
        <f t="shared" si="52"/>
        <v>50000</v>
      </c>
      <c r="AY97" s="201">
        <f t="shared" si="52"/>
        <v>50000</v>
      </c>
      <c r="AZ97" s="201">
        <f t="shared" si="52"/>
        <v>50000</v>
      </c>
      <c r="BA97" s="201">
        <f t="shared" si="52"/>
        <v>50000</v>
      </c>
      <c r="BB97" s="201">
        <f t="shared" si="52"/>
        <v>50000</v>
      </c>
      <c r="BC97" s="201">
        <f t="shared" si="52"/>
        <v>50000</v>
      </c>
      <c r="BD97" s="201">
        <f t="shared" si="52"/>
        <v>50000</v>
      </c>
      <c r="BE97" s="201">
        <f t="shared" si="52"/>
        <v>50000</v>
      </c>
      <c r="BF97" s="201">
        <f t="shared" si="52"/>
        <v>50000</v>
      </c>
      <c r="BG97" s="201">
        <f t="shared" si="52"/>
        <v>50000</v>
      </c>
      <c r="BH97" s="414">
        <f t="shared" si="9"/>
        <v>2250000</v>
      </c>
    </row>
    <row r="98" spans="2:60">
      <c r="B98" s="56"/>
      <c r="C98" s="160"/>
      <c r="D98" s="55"/>
      <c r="E98" s="55"/>
      <c r="F98" s="55"/>
      <c r="G98" s="55"/>
      <c r="H98" s="157"/>
      <c r="M98" s="156"/>
      <c r="N98" s="56"/>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414"/>
    </row>
    <row r="99" spans="2:60" collapsed="1">
      <c r="B99" s="56" t="s">
        <v>351</v>
      </c>
      <c r="C99" s="160"/>
      <c r="D99" s="55"/>
      <c r="E99" s="55"/>
      <c r="F99" s="55"/>
      <c r="G99" s="55"/>
      <c r="H99" s="157"/>
      <c r="J99" s="136">
        <f>F99/F$105</f>
        <v>0</v>
      </c>
      <c r="K99" s="169"/>
      <c r="L99" s="195"/>
      <c r="M99" s="156" t="str">
        <f>B99</f>
        <v xml:space="preserve">Misc. </v>
      </c>
      <c r="N99" s="56"/>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414"/>
    </row>
    <row r="100" spans="2:60" hidden="1" outlineLevel="1">
      <c r="B100" s="327" t="s">
        <v>352</v>
      </c>
      <c r="C100" s="160"/>
      <c r="D100" s="168">
        <f>100*C21</f>
        <v>12500</v>
      </c>
      <c r="E100" s="168">
        <f>D100</f>
        <v>12500</v>
      </c>
      <c r="F100" s="168">
        <f>D100</f>
        <v>12500</v>
      </c>
      <c r="G100" s="168"/>
      <c r="H100" s="157"/>
      <c r="I100" s="53" t="s">
        <v>353</v>
      </c>
      <c r="J100" s="136"/>
      <c r="K100" s="169" t="s">
        <v>311</v>
      </c>
      <c r="L100" s="195"/>
      <c r="M100" s="156" t="str">
        <f>B100</f>
        <v>Commissioning</v>
      </c>
      <c r="N100" s="56"/>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414"/>
    </row>
    <row r="101" spans="2:60" ht="30" hidden="1" outlineLevel="1">
      <c r="B101" s="327" t="s">
        <v>354</v>
      </c>
      <c r="C101" s="160"/>
      <c r="D101" s="205">
        <v>5000</v>
      </c>
      <c r="E101" s="205">
        <f>D101</f>
        <v>5000</v>
      </c>
      <c r="F101" s="205">
        <f>E101</f>
        <v>5000</v>
      </c>
      <c r="G101" s="205"/>
      <c r="H101" s="328" t="s">
        <v>355</v>
      </c>
      <c r="I101" s="328" t="s">
        <v>356</v>
      </c>
      <c r="J101" s="357"/>
      <c r="K101" s="360" t="s">
        <v>311</v>
      </c>
      <c r="L101" s="195"/>
      <c r="M101" s="392"/>
      <c r="N101" s="178"/>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419"/>
    </row>
    <row r="102" spans="2:60" ht="30" hidden="1" outlineLevel="1">
      <c r="B102" s="177" t="s">
        <v>357</v>
      </c>
      <c r="C102" s="172"/>
      <c r="D102" s="174">
        <f>300*50</f>
        <v>15000</v>
      </c>
      <c r="E102" s="174">
        <f>300*50</f>
        <v>15000</v>
      </c>
      <c r="F102" s="174">
        <f>300*50</f>
        <v>15000</v>
      </c>
      <c r="G102" s="174"/>
      <c r="H102" s="175"/>
      <c r="I102" s="176" t="s">
        <v>358</v>
      </c>
      <c r="J102" s="172"/>
      <c r="K102" s="176" t="str">
        <f>B193</f>
        <v xml:space="preserve">Security </v>
      </c>
      <c r="M102" s="392" t="str">
        <f>B102</f>
        <v>Plant Security Allowance (fencing, access control)</v>
      </c>
      <c r="N102" s="177"/>
      <c r="O102" s="204">
        <f t="shared" ref="O102:BG102" si="53">INDEX($D102:$F102,MATCH(O$8,$D$5:$F$5,0))</f>
        <v>15000</v>
      </c>
      <c r="P102" s="204">
        <f t="shared" si="53"/>
        <v>15000</v>
      </c>
      <c r="Q102" s="204">
        <f t="shared" si="53"/>
        <v>15000</v>
      </c>
      <c r="R102" s="204">
        <f t="shared" si="53"/>
        <v>15000</v>
      </c>
      <c r="S102" s="204">
        <f t="shared" si="53"/>
        <v>15000</v>
      </c>
      <c r="T102" s="204">
        <f t="shared" si="53"/>
        <v>15000</v>
      </c>
      <c r="U102" s="204">
        <f t="shared" si="53"/>
        <v>15000</v>
      </c>
      <c r="V102" s="204">
        <f t="shared" si="53"/>
        <v>15000</v>
      </c>
      <c r="W102" s="204">
        <f t="shared" si="53"/>
        <v>15000</v>
      </c>
      <c r="X102" s="204">
        <f t="shared" si="53"/>
        <v>15000</v>
      </c>
      <c r="Y102" s="204">
        <f t="shared" si="53"/>
        <v>15000</v>
      </c>
      <c r="Z102" s="204">
        <f t="shared" si="53"/>
        <v>15000</v>
      </c>
      <c r="AA102" s="204">
        <f t="shared" si="53"/>
        <v>15000</v>
      </c>
      <c r="AB102" s="204">
        <f t="shared" si="53"/>
        <v>15000</v>
      </c>
      <c r="AC102" s="204">
        <f t="shared" si="53"/>
        <v>15000</v>
      </c>
      <c r="AD102" s="204">
        <f t="shared" si="53"/>
        <v>15000</v>
      </c>
      <c r="AE102" s="204">
        <f t="shared" si="53"/>
        <v>15000</v>
      </c>
      <c r="AF102" s="204">
        <f t="shared" si="53"/>
        <v>15000</v>
      </c>
      <c r="AG102" s="204">
        <f t="shared" si="53"/>
        <v>15000</v>
      </c>
      <c r="AH102" s="204">
        <f t="shared" si="53"/>
        <v>15000</v>
      </c>
      <c r="AI102" s="204">
        <f t="shared" si="53"/>
        <v>15000</v>
      </c>
      <c r="AJ102" s="204">
        <f t="shared" si="53"/>
        <v>15000</v>
      </c>
      <c r="AK102" s="204">
        <f t="shared" si="53"/>
        <v>15000</v>
      </c>
      <c r="AL102" s="204">
        <f t="shared" si="53"/>
        <v>15000</v>
      </c>
      <c r="AM102" s="204">
        <f t="shared" si="53"/>
        <v>15000</v>
      </c>
      <c r="AN102" s="204">
        <f t="shared" si="53"/>
        <v>15000</v>
      </c>
      <c r="AO102" s="204">
        <f t="shared" si="53"/>
        <v>15000</v>
      </c>
      <c r="AP102" s="204">
        <f t="shared" si="53"/>
        <v>15000</v>
      </c>
      <c r="AQ102" s="204">
        <f t="shared" si="53"/>
        <v>15000</v>
      </c>
      <c r="AR102" s="204">
        <f t="shared" si="53"/>
        <v>15000</v>
      </c>
      <c r="AS102" s="204">
        <f t="shared" si="53"/>
        <v>15000</v>
      </c>
      <c r="AT102" s="204">
        <f t="shared" si="53"/>
        <v>15000</v>
      </c>
      <c r="AU102" s="204">
        <f t="shared" si="53"/>
        <v>15000</v>
      </c>
      <c r="AV102" s="204">
        <f t="shared" si="53"/>
        <v>15000</v>
      </c>
      <c r="AW102" s="204">
        <f t="shared" si="53"/>
        <v>15000</v>
      </c>
      <c r="AX102" s="204">
        <f t="shared" si="53"/>
        <v>15000</v>
      </c>
      <c r="AY102" s="204">
        <f t="shared" si="53"/>
        <v>15000</v>
      </c>
      <c r="AZ102" s="204">
        <f t="shared" si="53"/>
        <v>15000</v>
      </c>
      <c r="BA102" s="204">
        <f t="shared" si="53"/>
        <v>15000</v>
      </c>
      <c r="BB102" s="204">
        <f t="shared" si="53"/>
        <v>15000</v>
      </c>
      <c r="BC102" s="204">
        <f t="shared" si="53"/>
        <v>15000</v>
      </c>
      <c r="BD102" s="204">
        <f t="shared" si="53"/>
        <v>15000</v>
      </c>
      <c r="BE102" s="204">
        <f t="shared" si="53"/>
        <v>15000</v>
      </c>
      <c r="BF102" s="204">
        <f t="shared" si="53"/>
        <v>15000</v>
      </c>
      <c r="BG102" s="204">
        <f t="shared" si="53"/>
        <v>15000</v>
      </c>
      <c r="BH102" s="419">
        <f t="shared" ref="BH102:BH103" si="54">SUM(O102:BG102)</f>
        <v>675000</v>
      </c>
    </row>
    <row r="103" spans="2:60" collapsed="1">
      <c r="B103" s="56" t="s">
        <v>359</v>
      </c>
      <c r="C103" s="160"/>
      <c r="D103" s="161">
        <f>ROUNDUP(SUM(D100:D102),-3)</f>
        <v>33000</v>
      </c>
      <c r="E103" s="161">
        <f t="shared" ref="E103:F103" si="55">ROUNDUP(SUM(E100:E102),-3)</f>
        <v>33000</v>
      </c>
      <c r="F103" s="161">
        <f t="shared" si="55"/>
        <v>33000</v>
      </c>
      <c r="G103" s="161"/>
      <c r="H103" s="157"/>
      <c r="J103" s="136">
        <f>F103/F$105</f>
        <v>0.06</v>
      </c>
      <c r="K103" s="169"/>
      <c r="L103" s="195"/>
      <c r="M103" s="156" t="str">
        <f>B103</f>
        <v>Misc. Subtotal</v>
      </c>
      <c r="N103" s="164"/>
      <c r="O103" s="201">
        <f>SUM(O102)</f>
        <v>15000</v>
      </c>
      <c r="P103" s="201">
        <f t="shared" ref="P103:BG103" si="56">SUM(P102)</f>
        <v>15000</v>
      </c>
      <c r="Q103" s="201">
        <f t="shared" si="56"/>
        <v>15000</v>
      </c>
      <c r="R103" s="201">
        <f t="shared" si="56"/>
        <v>15000</v>
      </c>
      <c r="S103" s="201">
        <f t="shared" si="56"/>
        <v>15000</v>
      </c>
      <c r="T103" s="201">
        <f t="shared" si="56"/>
        <v>15000</v>
      </c>
      <c r="U103" s="201">
        <f t="shared" si="56"/>
        <v>15000</v>
      </c>
      <c r="V103" s="201">
        <f t="shared" si="56"/>
        <v>15000</v>
      </c>
      <c r="W103" s="201">
        <f t="shared" si="56"/>
        <v>15000</v>
      </c>
      <c r="X103" s="201">
        <f t="shared" si="56"/>
        <v>15000</v>
      </c>
      <c r="Y103" s="201">
        <f t="shared" si="56"/>
        <v>15000</v>
      </c>
      <c r="Z103" s="201">
        <f t="shared" si="56"/>
        <v>15000</v>
      </c>
      <c r="AA103" s="201">
        <f t="shared" si="56"/>
        <v>15000</v>
      </c>
      <c r="AB103" s="201">
        <f t="shared" si="56"/>
        <v>15000</v>
      </c>
      <c r="AC103" s="201">
        <f t="shared" si="56"/>
        <v>15000</v>
      </c>
      <c r="AD103" s="201">
        <f t="shared" si="56"/>
        <v>15000</v>
      </c>
      <c r="AE103" s="201">
        <f t="shared" si="56"/>
        <v>15000</v>
      </c>
      <c r="AF103" s="201">
        <f t="shared" si="56"/>
        <v>15000</v>
      </c>
      <c r="AG103" s="201">
        <f t="shared" si="56"/>
        <v>15000</v>
      </c>
      <c r="AH103" s="201">
        <f t="shared" si="56"/>
        <v>15000</v>
      </c>
      <c r="AI103" s="201">
        <f t="shared" si="56"/>
        <v>15000</v>
      </c>
      <c r="AJ103" s="201">
        <f t="shared" si="56"/>
        <v>15000</v>
      </c>
      <c r="AK103" s="201">
        <f t="shared" si="56"/>
        <v>15000</v>
      </c>
      <c r="AL103" s="201">
        <f t="shared" si="56"/>
        <v>15000</v>
      </c>
      <c r="AM103" s="201">
        <f t="shared" si="56"/>
        <v>15000</v>
      </c>
      <c r="AN103" s="201">
        <f t="shared" si="56"/>
        <v>15000</v>
      </c>
      <c r="AO103" s="201">
        <f t="shared" si="56"/>
        <v>15000</v>
      </c>
      <c r="AP103" s="201">
        <f t="shared" si="56"/>
        <v>15000</v>
      </c>
      <c r="AQ103" s="201">
        <f t="shared" si="56"/>
        <v>15000</v>
      </c>
      <c r="AR103" s="201">
        <f t="shared" si="56"/>
        <v>15000</v>
      </c>
      <c r="AS103" s="201">
        <f t="shared" si="56"/>
        <v>15000</v>
      </c>
      <c r="AT103" s="201">
        <f t="shared" si="56"/>
        <v>15000</v>
      </c>
      <c r="AU103" s="201">
        <f t="shared" si="56"/>
        <v>15000</v>
      </c>
      <c r="AV103" s="201">
        <f t="shared" si="56"/>
        <v>15000</v>
      </c>
      <c r="AW103" s="201">
        <f t="shared" si="56"/>
        <v>15000</v>
      </c>
      <c r="AX103" s="201">
        <f t="shared" si="56"/>
        <v>15000</v>
      </c>
      <c r="AY103" s="201">
        <f t="shared" si="56"/>
        <v>15000</v>
      </c>
      <c r="AZ103" s="201">
        <f t="shared" si="56"/>
        <v>15000</v>
      </c>
      <c r="BA103" s="201">
        <f t="shared" si="56"/>
        <v>15000</v>
      </c>
      <c r="BB103" s="201">
        <f t="shared" si="56"/>
        <v>15000</v>
      </c>
      <c r="BC103" s="201">
        <f t="shared" si="56"/>
        <v>15000</v>
      </c>
      <c r="BD103" s="201">
        <f t="shared" si="56"/>
        <v>15000</v>
      </c>
      <c r="BE103" s="201">
        <f t="shared" si="56"/>
        <v>15000</v>
      </c>
      <c r="BF103" s="201">
        <f t="shared" si="56"/>
        <v>15000</v>
      </c>
      <c r="BG103" s="201">
        <f t="shared" si="56"/>
        <v>15000</v>
      </c>
      <c r="BH103" s="414">
        <f t="shared" si="54"/>
        <v>675000</v>
      </c>
    </row>
    <row r="104" spans="2:60" ht="15.75" thickBot="1">
      <c r="B104" s="231"/>
      <c r="C104" s="231"/>
      <c r="D104" s="230"/>
      <c r="E104" s="230"/>
      <c r="F104" s="230"/>
      <c r="G104" s="230"/>
      <c r="H104" s="232"/>
      <c r="I104" s="233"/>
      <c r="J104" s="233"/>
      <c r="K104" s="233"/>
      <c r="M104" s="233"/>
      <c r="N104" s="231"/>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420"/>
    </row>
    <row r="105" spans="2:60">
      <c r="B105" s="56" t="s">
        <v>360</v>
      </c>
      <c r="C105" s="56"/>
      <c r="D105" s="161">
        <f>SUM(D57,D61,D65,D81,D92,D97,D103)</f>
        <v>443000</v>
      </c>
      <c r="E105" s="161">
        <f>SUM(E57,E61,E65,E81,E92,E97,E103)</f>
        <v>470000</v>
      </c>
      <c r="F105" s="161">
        <f>SUM(F57,F61,F65,F81,F92,F97,F103)</f>
        <v>550000</v>
      </c>
      <c r="G105" s="161"/>
      <c r="H105" s="162"/>
      <c r="J105" s="53"/>
      <c r="M105" s="156" t="str">
        <f>B105</f>
        <v>Direct Cost Subtotal - Per Facility</v>
      </c>
      <c r="N105" s="56"/>
      <c r="O105" s="161">
        <f t="shared" ref="O105:BG105" si="57">SUM(O57,O61,O65,O81,O92,O97,O103)</f>
        <v>440000</v>
      </c>
      <c r="P105" s="161">
        <f t="shared" si="57"/>
        <v>431000</v>
      </c>
      <c r="Q105" s="161">
        <f t="shared" si="57"/>
        <v>454000</v>
      </c>
      <c r="R105" s="161">
        <f t="shared" si="57"/>
        <v>516000</v>
      </c>
      <c r="S105" s="161">
        <f t="shared" si="57"/>
        <v>437000</v>
      </c>
      <c r="T105" s="161">
        <f t="shared" si="57"/>
        <v>516000</v>
      </c>
      <c r="U105" s="161">
        <f t="shared" si="57"/>
        <v>428000</v>
      </c>
      <c r="V105" s="161">
        <f t="shared" si="57"/>
        <v>440000</v>
      </c>
      <c r="W105" s="161">
        <f t="shared" si="57"/>
        <v>443000</v>
      </c>
      <c r="X105" s="161">
        <f t="shared" si="57"/>
        <v>436000</v>
      </c>
      <c r="Y105" s="161">
        <f t="shared" si="57"/>
        <v>431000</v>
      </c>
      <c r="Z105" s="161">
        <f t="shared" si="57"/>
        <v>398000</v>
      </c>
      <c r="AA105" s="161">
        <f t="shared" si="57"/>
        <v>437000</v>
      </c>
      <c r="AB105" s="161">
        <f t="shared" si="57"/>
        <v>428000</v>
      </c>
      <c r="AC105" s="161">
        <f t="shared" si="57"/>
        <v>446000</v>
      </c>
      <c r="AD105" s="161">
        <f t="shared" si="57"/>
        <v>472000</v>
      </c>
      <c r="AE105" s="161">
        <f t="shared" si="57"/>
        <v>437000</v>
      </c>
      <c r="AF105" s="161">
        <f t="shared" si="57"/>
        <v>514000</v>
      </c>
      <c r="AG105" s="161">
        <f t="shared" si="57"/>
        <v>517000</v>
      </c>
      <c r="AH105" s="161">
        <f t="shared" si="57"/>
        <v>419000</v>
      </c>
      <c r="AI105" s="161">
        <f t="shared" si="57"/>
        <v>514000</v>
      </c>
      <c r="AJ105" s="161">
        <f t="shared" si="57"/>
        <v>468000</v>
      </c>
      <c r="AK105" s="161">
        <f t="shared" si="57"/>
        <v>430000</v>
      </c>
      <c r="AL105" s="161">
        <f t="shared" si="57"/>
        <v>404000</v>
      </c>
      <c r="AM105" s="161">
        <f t="shared" si="57"/>
        <v>406000</v>
      </c>
      <c r="AN105" s="161">
        <f t="shared" si="57"/>
        <v>449000</v>
      </c>
      <c r="AO105" s="161">
        <f t="shared" si="57"/>
        <v>431000</v>
      </c>
      <c r="AP105" s="161">
        <f t="shared" si="57"/>
        <v>455000</v>
      </c>
      <c r="AQ105" s="161">
        <f t="shared" si="57"/>
        <v>455000</v>
      </c>
      <c r="AR105" s="161">
        <f t="shared" si="57"/>
        <v>437000</v>
      </c>
      <c r="AS105" s="161">
        <f t="shared" si="57"/>
        <v>436000</v>
      </c>
      <c r="AT105" s="161">
        <f t="shared" si="57"/>
        <v>434000</v>
      </c>
      <c r="AU105" s="161">
        <f t="shared" si="57"/>
        <v>443000</v>
      </c>
      <c r="AV105" s="161">
        <f t="shared" si="57"/>
        <v>454000</v>
      </c>
      <c r="AW105" s="161">
        <f t="shared" si="57"/>
        <v>406000</v>
      </c>
      <c r="AX105" s="161">
        <f t="shared" si="57"/>
        <v>437000</v>
      </c>
      <c r="AY105" s="161">
        <f t="shared" si="57"/>
        <v>409000</v>
      </c>
      <c r="AZ105" s="161">
        <f t="shared" si="57"/>
        <v>516000</v>
      </c>
      <c r="BA105" s="161">
        <f t="shared" si="57"/>
        <v>463000</v>
      </c>
      <c r="BB105" s="161">
        <f t="shared" si="57"/>
        <v>437000</v>
      </c>
      <c r="BC105" s="161">
        <f t="shared" si="57"/>
        <v>437000</v>
      </c>
      <c r="BD105" s="161">
        <f t="shared" si="57"/>
        <v>508000</v>
      </c>
      <c r="BE105" s="161">
        <f t="shared" si="57"/>
        <v>406000</v>
      </c>
      <c r="BF105" s="161">
        <f t="shared" si="57"/>
        <v>395000</v>
      </c>
      <c r="BG105" s="161">
        <f t="shared" si="57"/>
        <v>395000</v>
      </c>
      <c r="BH105" s="413">
        <f>SUM(O105:BG105)</f>
        <v>20065000</v>
      </c>
    </row>
    <row r="106" spans="2:60" ht="15.75" thickBot="1">
      <c r="B106" s="246"/>
      <c r="C106" s="183"/>
      <c r="D106" s="247"/>
      <c r="E106" s="247"/>
      <c r="F106" s="247"/>
      <c r="G106" s="247"/>
      <c r="H106" s="248"/>
      <c r="I106" s="249"/>
      <c r="J106" s="249"/>
      <c r="K106" s="249"/>
      <c r="M106" s="218"/>
      <c r="N106" s="163"/>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row>
    <row r="107" spans="2:60" ht="15.75" thickTop="1">
      <c r="B107" s="56" t="s">
        <v>361</v>
      </c>
      <c r="E107" s="161"/>
      <c r="F107" s="161"/>
      <c r="G107" s="216">
        <f>SUM(O105:BG105)</f>
        <v>20065000</v>
      </c>
      <c r="M107" s="218"/>
      <c r="N107" s="163"/>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row>
    <row r="108" spans="2:60">
      <c r="B108" s="163"/>
      <c r="D108" s="55"/>
      <c r="E108" s="55"/>
      <c r="F108" s="55"/>
      <c r="G108" s="55"/>
      <c r="H108" s="157"/>
      <c r="M108" s="218"/>
      <c r="N108" s="163"/>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row>
    <row r="109" spans="2:60">
      <c r="B109" s="56" t="s">
        <v>362</v>
      </c>
      <c r="D109" s="55"/>
      <c r="E109" s="55"/>
      <c r="F109" s="55"/>
      <c r="G109" s="55"/>
      <c r="H109" s="157"/>
      <c r="J109" s="55"/>
      <c r="K109" s="189"/>
      <c r="M109" s="156" t="str">
        <f>B109</f>
        <v>Markups</v>
      </c>
      <c r="N109" s="56"/>
    </row>
    <row r="110" spans="2:60" ht="60" outlineLevel="1">
      <c r="B110" s="200" t="s">
        <v>363</v>
      </c>
      <c r="C110" s="160">
        <v>0.3</v>
      </c>
      <c r="D110" s="168">
        <f t="shared" ref="D110:F112" si="58">ROUNDUP($C110*D$105,-3)</f>
        <v>133000</v>
      </c>
      <c r="E110" s="168">
        <f t="shared" si="58"/>
        <v>141000</v>
      </c>
      <c r="F110" s="168">
        <f t="shared" si="58"/>
        <v>165000</v>
      </c>
      <c r="G110" s="168"/>
      <c r="H110" s="202" t="s">
        <v>298</v>
      </c>
      <c r="I110" s="328" t="s">
        <v>364</v>
      </c>
      <c r="M110" s="218" t="str">
        <f>B110</f>
        <v>Preliminary &amp; General Cost, Mobilization &amp; Demobilization</v>
      </c>
      <c r="N110" s="164"/>
      <c r="O110" s="55">
        <f>ROUNDUP($C110*O$105,-3)</f>
        <v>132000</v>
      </c>
      <c r="P110" s="55">
        <f t="shared" ref="P110:BG112" si="59">ROUNDUP($C110*P$105,-3)</f>
        <v>130000</v>
      </c>
      <c r="Q110" s="55">
        <f t="shared" si="59"/>
        <v>137000</v>
      </c>
      <c r="R110" s="55">
        <f t="shared" si="59"/>
        <v>155000</v>
      </c>
      <c r="S110" s="55">
        <f t="shared" si="59"/>
        <v>132000</v>
      </c>
      <c r="T110" s="55">
        <f t="shared" si="59"/>
        <v>155000</v>
      </c>
      <c r="U110" s="55">
        <f t="shared" si="59"/>
        <v>129000</v>
      </c>
      <c r="V110" s="55">
        <f t="shared" si="59"/>
        <v>132000</v>
      </c>
      <c r="W110" s="55">
        <f t="shared" si="59"/>
        <v>133000</v>
      </c>
      <c r="X110" s="55">
        <f t="shared" si="59"/>
        <v>131000</v>
      </c>
      <c r="Y110" s="55">
        <f t="shared" si="59"/>
        <v>130000</v>
      </c>
      <c r="Z110" s="55">
        <f t="shared" si="59"/>
        <v>120000</v>
      </c>
      <c r="AA110" s="55">
        <f t="shared" si="59"/>
        <v>132000</v>
      </c>
      <c r="AB110" s="55">
        <f t="shared" si="59"/>
        <v>129000</v>
      </c>
      <c r="AC110" s="55">
        <f t="shared" si="59"/>
        <v>134000</v>
      </c>
      <c r="AD110" s="55">
        <f t="shared" si="59"/>
        <v>142000</v>
      </c>
      <c r="AE110" s="55">
        <f t="shared" si="59"/>
        <v>132000</v>
      </c>
      <c r="AF110" s="55">
        <f t="shared" si="59"/>
        <v>155000</v>
      </c>
      <c r="AG110" s="55">
        <f t="shared" si="59"/>
        <v>156000</v>
      </c>
      <c r="AH110" s="55">
        <f t="shared" si="59"/>
        <v>126000</v>
      </c>
      <c r="AI110" s="55">
        <f t="shared" si="59"/>
        <v>155000</v>
      </c>
      <c r="AJ110" s="55">
        <f t="shared" si="59"/>
        <v>141000</v>
      </c>
      <c r="AK110" s="55">
        <f t="shared" si="59"/>
        <v>129000</v>
      </c>
      <c r="AL110" s="55">
        <f t="shared" si="59"/>
        <v>122000</v>
      </c>
      <c r="AM110" s="55">
        <f t="shared" si="59"/>
        <v>122000</v>
      </c>
      <c r="AN110" s="55">
        <f t="shared" si="59"/>
        <v>135000</v>
      </c>
      <c r="AO110" s="55">
        <f t="shared" si="59"/>
        <v>130000</v>
      </c>
      <c r="AP110" s="55">
        <f t="shared" si="59"/>
        <v>137000</v>
      </c>
      <c r="AQ110" s="55">
        <f t="shared" si="59"/>
        <v>137000</v>
      </c>
      <c r="AR110" s="55">
        <f t="shared" si="59"/>
        <v>132000</v>
      </c>
      <c r="AS110" s="55">
        <f t="shared" si="59"/>
        <v>131000</v>
      </c>
      <c r="AT110" s="55">
        <f t="shared" si="59"/>
        <v>131000</v>
      </c>
      <c r="AU110" s="55">
        <f t="shared" si="59"/>
        <v>133000</v>
      </c>
      <c r="AV110" s="55">
        <f t="shared" si="59"/>
        <v>137000</v>
      </c>
      <c r="AW110" s="55">
        <f t="shared" si="59"/>
        <v>122000</v>
      </c>
      <c r="AX110" s="55">
        <f t="shared" si="59"/>
        <v>132000</v>
      </c>
      <c r="AY110" s="55">
        <f t="shared" si="59"/>
        <v>123000</v>
      </c>
      <c r="AZ110" s="55">
        <f t="shared" si="59"/>
        <v>155000</v>
      </c>
      <c r="BA110" s="55">
        <f t="shared" si="59"/>
        <v>139000</v>
      </c>
      <c r="BB110" s="55">
        <f t="shared" si="59"/>
        <v>132000</v>
      </c>
      <c r="BC110" s="55">
        <f t="shared" si="59"/>
        <v>132000</v>
      </c>
      <c r="BD110" s="55">
        <f t="shared" si="59"/>
        <v>153000</v>
      </c>
      <c r="BE110" s="55">
        <f t="shared" si="59"/>
        <v>122000</v>
      </c>
      <c r="BF110" s="55">
        <f t="shared" si="59"/>
        <v>119000</v>
      </c>
      <c r="BG110" s="55">
        <f t="shared" si="59"/>
        <v>119000</v>
      </c>
    </row>
    <row r="111" spans="2:60" outlineLevel="1">
      <c r="B111" s="200" t="s">
        <v>101</v>
      </c>
      <c r="C111" s="160">
        <v>0.15</v>
      </c>
      <c r="D111" s="170">
        <f t="shared" si="58"/>
        <v>67000</v>
      </c>
      <c r="E111" s="170">
        <f t="shared" si="58"/>
        <v>71000</v>
      </c>
      <c r="F111" s="170">
        <f t="shared" si="58"/>
        <v>83000</v>
      </c>
      <c r="G111" s="170"/>
      <c r="H111" s="171" t="s">
        <v>298</v>
      </c>
      <c r="M111" s="218" t="str">
        <f>B111</f>
        <v>Contractor Overhead, Profit and Risk</v>
      </c>
      <c r="N111" s="164"/>
      <c r="O111" s="55">
        <f t="shared" ref="O111:AD112" si="60">ROUNDUP($C111*O$105,-3)</f>
        <v>66000</v>
      </c>
      <c r="P111" s="55">
        <f t="shared" si="60"/>
        <v>65000</v>
      </c>
      <c r="Q111" s="55">
        <f t="shared" si="60"/>
        <v>69000</v>
      </c>
      <c r="R111" s="55">
        <f t="shared" si="60"/>
        <v>78000</v>
      </c>
      <c r="S111" s="55">
        <f t="shared" si="60"/>
        <v>66000</v>
      </c>
      <c r="T111" s="55">
        <f t="shared" si="60"/>
        <v>78000</v>
      </c>
      <c r="U111" s="55">
        <f t="shared" si="60"/>
        <v>65000</v>
      </c>
      <c r="V111" s="55">
        <f t="shared" si="60"/>
        <v>66000</v>
      </c>
      <c r="W111" s="55">
        <f t="shared" si="60"/>
        <v>67000</v>
      </c>
      <c r="X111" s="55">
        <f t="shared" si="60"/>
        <v>66000</v>
      </c>
      <c r="Y111" s="55">
        <f t="shared" si="60"/>
        <v>65000</v>
      </c>
      <c r="Z111" s="55">
        <f t="shared" si="60"/>
        <v>60000</v>
      </c>
      <c r="AA111" s="55">
        <f t="shared" si="60"/>
        <v>66000</v>
      </c>
      <c r="AB111" s="55">
        <f t="shared" si="60"/>
        <v>65000</v>
      </c>
      <c r="AC111" s="55">
        <f t="shared" si="60"/>
        <v>67000</v>
      </c>
      <c r="AD111" s="55">
        <f t="shared" si="60"/>
        <v>71000</v>
      </c>
      <c r="AE111" s="55">
        <f t="shared" si="59"/>
        <v>66000</v>
      </c>
      <c r="AF111" s="55">
        <f t="shared" si="59"/>
        <v>78000</v>
      </c>
      <c r="AG111" s="55">
        <f t="shared" si="59"/>
        <v>78000</v>
      </c>
      <c r="AH111" s="55">
        <f t="shared" si="59"/>
        <v>63000</v>
      </c>
      <c r="AI111" s="55">
        <f t="shared" si="59"/>
        <v>78000</v>
      </c>
      <c r="AJ111" s="55">
        <f t="shared" si="59"/>
        <v>71000</v>
      </c>
      <c r="AK111" s="55">
        <f t="shared" si="59"/>
        <v>65000</v>
      </c>
      <c r="AL111" s="55">
        <f t="shared" si="59"/>
        <v>61000</v>
      </c>
      <c r="AM111" s="55">
        <f t="shared" si="59"/>
        <v>61000</v>
      </c>
      <c r="AN111" s="55">
        <f t="shared" si="59"/>
        <v>68000</v>
      </c>
      <c r="AO111" s="55">
        <f t="shared" si="59"/>
        <v>65000</v>
      </c>
      <c r="AP111" s="55">
        <f t="shared" si="59"/>
        <v>69000</v>
      </c>
      <c r="AQ111" s="55">
        <f t="shared" si="59"/>
        <v>69000</v>
      </c>
      <c r="AR111" s="55">
        <f t="shared" si="59"/>
        <v>66000</v>
      </c>
      <c r="AS111" s="55">
        <f t="shared" si="59"/>
        <v>66000</v>
      </c>
      <c r="AT111" s="55">
        <f t="shared" si="59"/>
        <v>66000</v>
      </c>
      <c r="AU111" s="55">
        <f t="shared" si="59"/>
        <v>67000</v>
      </c>
      <c r="AV111" s="55">
        <f t="shared" si="59"/>
        <v>69000</v>
      </c>
      <c r="AW111" s="55">
        <f t="shared" si="59"/>
        <v>61000</v>
      </c>
      <c r="AX111" s="55">
        <f t="shared" si="59"/>
        <v>66000</v>
      </c>
      <c r="AY111" s="55">
        <f t="shared" si="59"/>
        <v>62000</v>
      </c>
      <c r="AZ111" s="55">
        <f t="shared" si="59"/>
        <v>78000</v>
      </c>
      <c r="BA111" s="55">
        <f t="shared" si="59"/>
        <v>70000</v>
      </c>
      <c r="BB111" s="55">
        <f t="shared" si="59"/>
        <v>66000</v>
      </c>
      <c r="BC111" s="55">
        <f t="shared" si="59"/>
        <v>66000</v>
      </c>
      <c r="BD111" s="55">
        <f t="shared" si="59"/>
        <v>77000</v>
      </c>
      <c r="BE111" s="55">
        <f t="shared" si="59"/>
        <v>61000</v>
      </c>
      <c r="BF111" s="55">
        <f t="shared" si="59"/>
        <v>60000</v>
      </c>
      <c r="BG111" s="55">
        <f t="shared" si="59"/>
        <v>60000</v>
      </c>
    </row>
    <row r="112" spans="2:60" outlineLevel="1">
      <c r="B112" s="200" t="s">
        <v>102</v>
      </c>
      <c r="C112" s="160">
        <v>0.02</v>
      </c>
      <c r="D112" s="170">
        <f t="shared" si="58"/>
        <v>9000</v>
      </c>
      <c r="E112" s="170">
        <f t="shared" si="58"/>
        <v>10000</v>
      </c>
      <c r="F112" s="170">
        <f t="shared" si="58"/>
        <v>11000</v>
      </c>
      <c r="G112" s="170"/>
      <c r="H112" s="171"/>
      <c r="K112"/>
      <c r="M112" s="218" t="str">
        <f>B112</f>
        <v>Warranty (Defects Liability Period)</v>
      </c>
      <c r="N112" s="164"/>
      <c r="O112" s="170">
        <f t="shared" si="60"/>
        <v>9000</v>
      </c>
      <c r="P112" s="170">
        <f t="shared" si="59"/>
        <v>9000</v>
      </c>
      <c r="Q112" s="170">
        <f t="shared" si="59"/>
        <v>10000</v>
      </c>
      <c r="R112" s="170">
        <f t="shared" si="59"/>
        <v>11000</v>
      </c>
      <c r="S112" s="170">
        <f t="shared" si="59"/>
        <v>9000</v>
      </c>
      <c r="T112" s="170">
        <f t="shared" si="59"/>
        <v>11000</v>
      </c>
      <c r="U112" s="170">
        <f t="shared" si="59"/>
        <v>9000</v>
      </c>
      <c r="V112" s="170">
        <f t="shared" si="59"/>
        <v>9000</v>
      </c>
      <c r="W112" s="170">
        <f t="shared" si="59"/>
        <v>9000</v>
      </c>
      <c r="X112" s="170">
        <f t="shared" si="59"/>
        <v>9000</v>
      </c>
      <c r="Y112" s="170">
        <f t="shared" si="59"/>
        <v>9000</v>
      </c>
      <c r="Z112" s="170">
        <f t="shared" si="59"/>
        <v>8000</v>
      </c>
      <c r="AA112" s="170">
        <f t="shared" si="59"/>
        <v>9000</v>
      </c>
      <c r="AB112" s="170">
        <f t="shared" si="59"/>
        <v>9000</v>
      </c>
      <c r="AC112" s="170">
        <f t="shared" si="59"/>
        <v>9000</v>
      </c>
      <c r="AD112" s="170">
        <f t="shared" si="59"/>
        <v>10000</v>
      </c>
      <c r="AE112" s="170">
        <f t="shared" si="59"/>
        <v>9000</v>
      </c>
      <c r="AF112" s="170">
        <f t="shared" si="59"/>
        <v>11000</v>
      </c>
      <c r="AG112" s="170">
        <f t="shared" si="59"/>
        <v>11000</v>
      </c>
      <c r="AH112" s="170">
        <f t="shared" si="59"/>
        <v>9000</v>
      </c>
      <c r="AI112" s="170">
        <f t="shared" si="59"/>
        <v>11000</v>
      </c>
      <c r="AJ112" s="170">
        <f t="shared" si="59"/>
        <v>10000</v>
      </c>
      <c r="AK112" s="170">
        <f t="shared" si="59"/>
        <v>9000</v>
      </c>
      <c r="AL112" s="170">
        <f t="shared" si="59"/>
        <v>9000</v>
      </c>
      <c r="AM112" s="170">
        <f t="shared" si="59"/>
        <v>9000</v>
      </c>
      <c r="AN112" s="170">
        <f t="shared" si="59"/>
        <v>9000</v>
      </c>
      <c r="AO112" s="170">
        <f t="shared" si="59"/>
        <v>9000</v>
      </c>
      <c r="AP112" s="170">
        <f t="shared" si="59"/>
        <v>10000</v>
      </c>
      <c r="AQ112" s="170">
        <f t="shared" si="59"/>
        <v>10000</v>
      </c>
      <c r="AR112" s="170">
        <f t="shared" si="59"/>
        <v>9000</v>
      </c>
      <c r="AS112" s="170">
        <f t="shared" si="59"/>
        <v>9000</v>
      </c>
      <c r="AT112" s="170">
        <f t="shared" si="59"/>
        <v>9000</v>
      </c>
      <c r="AU112" s="170">
        <f t="shared" si="59"/>
        <v>9000</v>
      </c>
      <c r="AV112" s="170">
        <f t="shared" si="59"/>
        <v>10000</v>
      </c>
      <c r="AW112" s="170">
        <f t="shared" si="59"/>
        <v>9000</v>
      </c>
      <c r="AX112" s="170">
        <f t="shared" si="59"/>
        <v>9000</v>
      </c>
      <c r="AY112" s="170">
        <f t="shared" si="59"/>
        <v>9000</v>
      </c>
      <c r="AZ112" s="170">
        <f t="shared" si="59"/>
        <v>11000</v>
      </c>
      <c r="BA112" s="170">
        <f t="shared" si="59"/>
        <v>10000</v>
      </c>
      <c r="BB112" s="170">
        <f t="shared" si="59"/>
        <v>9000</v>
      </c>
      <c r="BC112" s="170">
        <f t="shared" si="59"/>
        <v>9000</v>
      </c>
      <c r="BD112" s="170">
        <f t="shared" si="59"/>
        <v>11000</v>
      </c>
      <c r="BE112" s="170">
        <f t="shared" si="59"/>
        <v>9000</v>
      </c>
      <c r="BF112" s="170">
        <f t="shared" si="59"/>
        <v>8000</v>
      </c>
      <c r="BG112" s="170">
        <f t="shared" si="59"/>
        <v>8000</v>
      </c>
    </row>
    <row r="113" spans="2:59" ht="15.75" thickBot="1">
      <c r="B113" s="231"/>
      <c r="C113" s="231"/>
      <c r="D113" s="230"/>
      <c r="E113" s="230"/>
      <c r="F113" s="230"/>
      <c r="G113" s="230"/>
      <c r="H113" s="232"/>
      <c r="I113" s="233"/>
      <c r="J113" s="233"/>
      <c r="K113" s="233"/>
      <c r="M113" s="233"/>
      <c r="N113" s="231"/>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row>
    <row r="114" spans="2:59">
      <c r="B114" s="56" t="s">
        <v>365</v>
      </c>
      <c r="C114" s="361">
        <f>SUM(C110:C112)</f>
        <v>0.47</v>
      </c>
      <c r="D114" s="161">
        <f>SUM(D110:D112,D105)</f>
        <v>652000</v>
      </c>
      <c r="E114" s="161">
        <f t="shared" ref="E114:F114" si="61">SUM(E110:E112,E105)</f>
        <v>692000</v>
      </c>
      <c r="F114" s="161">
        <f t="shared" si="61"/>
        <v>809000</v>
      </c>
      <c r="G114" s="161"/>
      <c r="H114" s="162"/>
      <c r="I114" s="191"/>
      <c r="J114" s="191"/>
      <c r="K114" s="191"/>
      <c r="M114" s="156" t="str">
        <f>B114</f>
        <v>Construction Subtotal - Per Facility</v>
      </c>
      <c r="N114" s="56"/>
      <c r="O114" s="161">
        <f>SUM(O110:O112,O105)</f>
        <v>647000</v>
      </c>
      <c r="P114" s="161">
        <f t="shared" ref="P114:BG114" si="62">SUM(P110:P112,P105)</f>
        <v>635000</v>
      </c>
      <c r="Q114" s="161">
        <f t="shared" si="62"/>
        <v>670000</v>
      </c>
      <c r="R114" s="161">
        <f t="shared" si="62"/>
        <v>760000</v>
      </c>
      <c r="S114" s="161">
        <f t="shared" si="62"/>
        <v>644000</v>
      </c>
      <c r="T114" s="161">
        <f t="shared" si="62"/>
        <v>760000</v>
      </c>
      <c r="U114" s="161">
        <f t="shared" si="62"/>
        <v>631000</v>
      </c>
      <c r="V114" s="161">
        <f t="shared" si="62"/>
        <v>647000</v>
      </c>
      <c r="W114" s="161">
        <f t="shared" si="62"/>
        <v>652000</v>
      </c>
      <c r="X114" s="161">
        <f t="shared" si="62"/>
        <v>642000</v>
      </c>
      <c r="Y114" s="161">
        <f t="shared" si="62"/>
        <v>635000</v>
      </c>
      <c r="Z114" s="161">
        <f t="shared" si="62"/>
        <v>586000</v>
      </c>
      <c r="AA114" s="161">
        <f t="shared" si="62"/>
        <v>644000</v>
      </c>
      <c r="AB114" s="161">
        <f t="shared" si="62"/>
        <v>631000</v>
      </c>
      <c r="AC114" s="161">
        <f t="shared" si="62"/>
        <v>656000</v>
      </c>
      <c r="AD114" s="161">
        <f t="shared" si="62"/>
        <v>695000</v>
      </c>
      <c r="AE114" s="161">
        <f t="shared" si="62"/>
        <v>644000</v>
      </c>
      <c r="AF114" s="161">
        <f t="shared" si="62"/>
        <v>758000</v>
      </c>
      <c r="AG114" s="161">
        <f t="shared" si="62"/>
        <v>762000</v>
      </c>
      <c r="AH114" s="161">
        <f t="shared" si="62"/>
        <v>617000</v>
      </c>
      <c r="AI114" s="161">
        <f t="shared" si="62"/>
        <v>758000</v>
      </c>
      <c r="AJ114" s="161">
        <f t="shared" si="62"/>
        <v>690000</v>
      </c>
      <c r="AK114" s="161">
        <f t="shared" si="62"/>
        <v>633000</v>
      </c>
      <c r="AL114" s="161">
        <f t="shared" si="62"/>
        <v>596000</v>
      </c>
      <c r="AM114" s="161">
        <f t="shared" si="62"/>
        <v>598000</v>
      </c>
      <c r="AN114" s="161">
        <f t="shared" si="62"/>
        <v>661000</v>
      </c>
      <c r="AO114" s="161">
        <f t="shared" si="62"/>
        <v>635000</v>
      </c>
      <c r="AP114" s="161">
        <f t="shared" si="62"/>
        <v>671000</v>
      </c>
      <c r="AQ114" s="161">
        <f t="shared" si="62"/>
        <v>671000</v>
      </c>
      <c r="AR114" s="161">
        <f t="shared" si="62"/>
        <v>644000</v>
      </c>
      <c r="AS114" s="161">
        <f t="shared" si="62"/>
        <v>642000</v>
      </c>
      <c r="AT114" s="161">
        <f t="shared" si="62"/>
        <v>640000</v>
      </c>
      <c r="AU114" s="161">
        <f t="shared" si="62"/>
        <v>652000</v>
      </c>
      <c r="AV114" s="161">
        <f t="shared" si="62"/>
        <v>670000</v>
      </c>
      <c r="AW114" s="161">
        <f t="shared" si="62"/>
        <v>598000</v>
      </c>
      <c r="AX114" s="161">
        <f t="shared" si="62"/>
        <v>644000</v>
      </c>
      <c r="AY114" s="161">
        <f t="shared" si="62"/>
        <v>603000</v>
      </c>
      <c r="AZ114" s="161">
        <f t="shared" si="62"/>
        <v>760000</v>
      </c>
      <c r="BA114" s="161">
        <f t="shared" si="62"/>
        <v>682000</v>
      </c>
      <c r="BB114" s="161">
        <f t="shared" si="62"/>
        <v>644000</v>
      </c>
      <c r="BC114" s="161">
        <f t="shared" si="62"/>
        <v>644000</v>
      </c>
      <c r="BD114" s="161">
        <f t="shared" si="62"/>
        <v>749000</v>
      </c>
      <c r="BE114" s="161">
        <f t="shared" si="62"/>
        <v>598000</v>
      </c>
      <c r="BF114" s="161">
        <f t="shared" si="62"/>
        <v>582000</v>
      </c>
      <c r="BG114" s="161">
        <f t="shared" si="62"/>
        <v>582000</v>
      </c>
    </row>
    <row r="115" spans="2:59" ht="15.75" thickBot="1">
      <c r="B115" s="246"/>
      <c r="C115" s="183"/>
      <c r="D115" s="247"/>
      <c r="E115" s="247"/>
      <c r="F115" s="247"/>
      <c r="G115" s="247">
        <f>SUM(O110:BG112)</f>
        <v>9498000</v>
      </c>
      <c r="H115" s="248"/>
      <c r="I115" s="249"/>
      <c r="J115" s="249"/>
      <c r="K115" s="249"/>
      <c r="M115" s="156"/>
      <c r="N115" s="56"/>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row>
    <row r="116" spans="2:59" ht="15.75" thickTop="1">
      <c r="B116" s="56" t="s">
        <v>366</v>
      </c>
      <c r="E116" s="161"/>
      <c r="F116" s="161"/>
      <c r="G116" s="161">
        <f>SUM(O114:BG114)</f>
        <v>29563000</v>
      </c>
      <c r="H116" s="191">
        <f>G115+G107</f>
        <v>29563000</v>
      </c>
      <c r="K116"/>
      <c r="M116" s="156"/>
      <c r="N116" s="56"/>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row>
    <row r="117" spans="2:59">
      <c r="D117" s="121"/>
      <c r="E117" s="121"/>
      <c r="F117" s="121"/>
      <c r="G117" s="121"/>
      <c r="H117" s="157"/>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row>
    <row r="118" spans="2:59">
      <c r="D118" s="121"/>
      <c r="E118" s="121"/>
      <c r="F118" s="121"/>
      <c r="G118" s="121"/>
      <c r="H118" s="157"/>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row>
    <row r="119" spans="2:59">
      <c r="B119" s="167" t="s">
        <v>367</v>
      </c>
      <c r="D119" s="55"/>
      <c r="E119" s="55"/>
      <c r="F119" s="55"/>
      <c r="G119" s="55"/>
      <c r="H119" s="157"/>
      <c r="J119" s="165"/>
      <c r="K119" s="191"/>
      <c r="M119" s="219" t="str">
        <f>B119</f>
        <v>Non Construction Implementation Costs</v>
      </c>
      <c r="N119" s="167"/>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row>
    <row r="120" spans="2:59" outlineLevel="1">
      <c r="B120" s="164" t="s">
        <v>106</v>
      </c>
      <c r="C120" s="160">
        <v>0.02</v>
      </c>
      <c r="G120" s="55">
        <f>ROUNDUP($G$116*$C120,-3)</f>
        <v>592000</v>
      </c>
      <c r="H120" s="157" t="s">
        <v>298</v>
      </c>
      <c r="M120" s="218" t="str">
        <f>B120</f>
        <v>Permitting &amp; Consents</v>
      </c>
      <c r="N120" s="164"/>
      <c r="O120" s="55">
        <f t="shared" ref="O120:X122" si="63">ROUNDUP($O$105*$C120,-3)</f>
        <v>9000</v>
      </c>
      <c r="P120" s="55">
        <f t="shared" si="63"/>
        <v>9000</v>
      </c>
      <c r="Q120" s="55">
        <f t="shared" si="63"/>
        <v>9000</v>
      </c>
      <c r="R120" s="55">
        <f t="shared" si="63"/>
        <v>9000</v>
      </c>
      <c r="S120" s="55">
        <f t="shared" si="63"/>
        <v>9000</v>
      </c>
      <c r="T120" s="55">
        <f t="shared" si="63"/>
        <v>9000</v>
      </c>
      <c r="U120" s="55">
        <f t="shared" si="63"/>
        <v>9000</v>
      </c>
      <c r="V120" s="55">
        <f t="shared" si="63"/>
        <v>9000</v>
      </c>
      <c r="W120" s="55">
        <f t="shared" si="63"/>
        <v>9000</v>
      </c>
      <c r="X120" s="55">
        <f t="shared" si="63"/>
        <v>9000</v>
      </c>
      <c r="Y120" s="55">
        <f t="shared" ref="Y120:AH122" si="64">ROUNDUP($O$105*$C120,-3)</f>
        <v>9000</v>
      </c>
      <c r="Z120" s="55">
        <f t="shared" si="64"/>
        <v>9000</v>
      </c>
      <c r="AA120" s="55">
        <f t="shared" si="64"/>
        <v>9000</v>
      </c>
      <c r="AB120" s="55">
        <f t="shared" si="64"/>
        <v>9000</v>
      </c>
      <c r="AC120" s="55">
        <f t="shared" si="64"/>
        <v>9000</v>
      </c>
      <c r="AD120" s="55">
        <f t="shared" si="64"/>
        <v>9000</v>
      </c>
      <c r="AE120" s="55">
        <f t="shared" si="64"/>
        <v>9000</v>
      </c>
      <c r="AF120" s="55">
        <f t="shared" si="64"/>
        <v>9000</v>
      </c>
      <c r="AG120" s="55">
        <f t="shared" si="64"/>
        <v>9000</v>
      </c>
      <c r="AH120" s="55">
        <f t="shared" si="64"/>
        <v>9000</v>
      </c>
      <c r="AI120" s="55">
        <f t="shared" ref="AI120:AR122" si="65">ROUNDUP($O$105*$C120,-3)</f>
        <v>9000</v>
      </c>
      <c r="AJ120" s="55">
        <f t="shared" si="65"/>
        <v>9000</v>
      </c>
      <c r="AK120" s="55">
        <f t="shared" si="65"/>
        <v>9000</v>
      </c>
      <c r="AL120" s="55">
        <f t="shared" si="65"/>
        <v>9000</v>
      </c>
      <c r="AM120" s="55">
        <f t="shared" si="65"/>
        <v>9000</v>
      </c>
      <c r="AN120" s="55">
        <f t="shared" si="65"/>
        <v>9000</v>
      </c>
      <c r="AO120" s="55">
        <f t="shared" si="65"/>
        <v>9000</v>
      </c>
      <c r="AP120" s="55">
        <f t="shared" si="65"/>
        <v>9000</v>
      </c>
      <c r="AQ120" s="55">
        <f t="shared" si="65"/>
        <v>9000</v>
      </c>
      <c r="AR120" s="55">
        <f t="shared" si="65"/>
        <v>9000</v>
      </c>
      <c r="AS120" s="55">
        <f t="shared" ref="AS120:BG122" si="66">ROUNDUP($O$105*$C120,-3)</f>
        <v>9000</v>
      </c>
      <c r="AT120" s="55">
        <f t="shared" si="66"/>
        <v>9000</v>
      </c>
      <c r="AU120" s="55">
        <f t="shared" si="66"/>
        <v>9000</v>
      </c>
      <c r="AV120" s="55">
        <f t="shared" si="66"/>
        <v>9000</v>
      </c>
      <c r="AW120" s="55">
        <f t="shared" si="66"/>
        <v>9000</v>
      </c>
      <c r="AX120" s="55">
        <f t="shared" si="66"/>
        <v>9000</v>
      </c>
      <c r="AY120" s="55">
        <f t="shared" si="66"/>
        <v>9000</v>
      </c>
      <c r="AZ120" s="55">
        <f t="shared" si="66"/>
        <v>9000</v>
      </c>
      <c r="BA120" s="55">
        <f t="shared" si="66"/>
        <v>9000</v>
      </c>
      <c r="BB120" s="55">
        <f t="shared" si="66"/>
        <v>9000</v>
      </c>
      <c r="BC120" s="55">
        <f t="shared" si="66"/>
        <v>9000</v>
      </c>
      <c r="BD120" s="55">
        <f t="shared" si="66"/>
        <v>9000</v>
      </c>
      <c r="BE120" s="55">
        <f t="shared" si="66"/>
        <v>9000</v>
      </c>
      <c r="BF120" s="55">
        <f t="shared" si="66"/>
        <v>9000</v>
      </c>
      <c r="BG120" s="55">
        <f t="shared" si="66"/>
        <v>9000</v>
      </c>
    </row>
    <row r="121" spans="2:59" ht="60" outlineLevel="1">
      <c r="B121" s="164" t="s">
        <v>107</v>
      </c>
      <c r="C121" s="325">
        <v>0.13</v>
      </c>
      <c r="G121" s="55">
        <f>ROUNDUP($G$116*$C121,-3)</f>
        <v>3844000</v>
      </c>
      <c r="H121" s="331" t="s">
        <v>368</v>
      </c>
      <c r="I121" s="328" t="s">
        <v>369</v>
      </c>
      <c r="M121" s="218" t="str">
        <f>B121</f>
        <v>Engineering</v>
      </c>
      <c r="N121" s="164"/>
      <c r="O121" s="55">
        <f t="shared" si="63"/>
        <v>58000</v>
      </c>
      <c r="P121" s="55">
        <f t="shared" si="63"/>
        <v>58000</v>
      </c>
      <c r="Q121" s="55">
        <f t="shared" si="63"/>
        <v>58000</v>
      </c>
      <c r="R121" s="55">
        <f t="shared" si="63"/>
        <v>58000</v>
      </c>
      <c r="S121" s="55">
        <f t="shared" si="63"/>
        <v>58000</v>
      </c>
      <c r="T121" s="55">
        <f t="shared" si="63"/>
        <v>58000</v>
      </c>
      <c r="U121" s="55">
        <f t="shared" si="63"/>
        <v>58000</v>
      </c>
      <c r="V121" s="55">
        <f t="shared" si="63"/>
        <v>58000</v>
      </c>
      <c r="W121" s="55">
        <f t="shared" si="63"/>
        <v>58000</v>
      </c>
      <c r="X121" s="55">
        <f t="shared" si="63"/>
        <v>58000</v>
      </c>
      <c r="Y121" s="55">
        <f t="shared" si="64"/>
        <v>58000</v>
      </c>
      <c r="Z121" s="55">
        <f t="shared" si="64"/>
        <v>58000</v>
      </c>
      <c r="AA121" s="55">
        <f t="shared" si="64"/>
        <v>58000</v>
      </c>
      <c r="AB121" s="55">
        <f t="shared" si="64"/>
        <v>58000</v>
      </c>
      <c r="AC121" s="55">
        <f t="shared" si="64"/>
        <v>58000</v>
      </c>
      <c r="AD121" s="55">
        <f t="shared" si="64"/>
        <v>58000</v>
      </c>
      <c r="AE121" s="55">
        <f t="shared" si="64"/>
        <v>58000</v>
      </c>
      <c r="AF121" s="55">
        <f t="shared" si="64"/>
        <v>58000</v>
      </c>
      <c r="AG121" s="55">
        <f t="shared" si="64"/>
        <v>58000</v>
      </c>
      <c r="AH121" s="55">
        <f t="shared" si="64"/>
        <v>58000</v>
      </c>
      <c r="AI121" s="55">
        <f t="shared" si="65"/>
        <v>58000</v>
      </c>
      <c r="AJ121" s="55">
        <f t="shared" si="65"/>
        <v>58000</v>
      </c>
      <c r="AK121" s="55">
        <f t="shared" si="65"/>
        <v>58000</v>
      </c>
      <c r="AL121" s="55">
        <f t="shared" si="65"/>
        <v>58000</v>
      </c>
      <c r="AM121" s="55">
        <f t="shared" si="65"/>
        <v>58000</v>
      </c>
      <c r="AN121" s="55">
        <f t="shared" si="65"/>
        <v>58000</v>
      </c>
      <c r="AO121" s="55">
        <f t="shared" si="65"/>
        <v>58000</v>
      </c>
      <c r="AP121" s="55">
        <f t="shared" si="65"/>
        <v>58000</v>
      </c>
      <c r="AQ121" s="55">
        <f t="shared" si="65"/>
        <v>58000</v>
      </c>
      <c r="AR121" s="55">
        <f t="shared" si="65"/>
        <v>58000</v>
      </c>
      <c r="AS121" s="55">
        <f t="shared" si="66"/>
        <v>58000</v>
      </c>
      <c r="AT121" s="55">
        <f t="shared" si="66"/>
        <v>58000</v>
      </c>
      <c r="AU121" s="55">
        <f t="shared" si="66"/>
        <v>58000</v>
      </c>
      <c r="AV121" s="55">
        <f t="shared" si="66"/>
        <v>58000</v>
      </c>
      <c r="AW121" s="55">
        <f t="shared" si="66"/>
        <v>58000</v>
      </c>
      <c r="AX121" s="55">
        <f t="shared" si="66"/>
        <v>58000</v>
      </c>
      <c r="AY121" s="55">
        <f t="shared" si="66"/>
        <v>58000</v>
      </c>
      <c r="AZ121" s="55">
        <f t="shared" si="66"/>
        <v>58000</v>
      </c>
      <c r="BA121" s="55">
        <f t="shared" si="66"/>
        <v>58000</v>
      </c>
      <c r="BB121" s="55">
        <f t="shared" si="66"/>
        <v>58000</v>
      </c>
      <c r="BC121" s="55">
        <f t="shared" si="66"/>
        <v>58000</v>
      </c>
      <c r="BD121" s="55">
        <f t="shared" si="66"/>
        <v>58000</v>
      </c>
      <c r="BE121" s="55">
        <f t="shared" si="66"/>
        <v>58000</v>
      </c>
      <c r="BF121" s="55">
        <f t="shared" si="66"/>
        <v>58000</v>
      </c>
      <c r="BG121" s="55">
        <f t="shared" si="66"/>
        <v>58000</v>
      </c>
    </row>
    <row r="122" spans="2:59" ht="30" outlineLevel="1">
      <c r="B122" s="200" t="s">
        <v>370</v>
      </c>
      <c r="C122" s="325">
        <v>7.0000000000000007E-2</v>
      </c>
      <c r="D122" s="222"/>
      <c r="E122" s="222"/>
      <c r="G122" s="55">
        <f>ROUNDUP($G$116*$C122,-3)</f>
        <v>2070000</v>
      </c>
      <c r="H122" s="331" t="s">
        <v>371</v>
      </c>
      <c r="I122" s="328" t="s">
        <v>372</v>
      </c>
      <c r="M122" s="218" t="str">
        <f>B122</f>
        <v>Services During Construction (Inspection, Contract Administration)</v>
      </c>
      <c r="N122" s="164"/>
      <c r="O122" s="55">
        <f t="shared" si="63"/>
        <v>31000</v>
      </c>
      <c r="P122" s="55">
        <f t="shared" si="63"/>
        <v>31000</v>
      </c>
      <c r="Q122" s="55">
        <f t="shared" si="63"/>
        <v>31000</v>
      </c>
      <c r="R122" s="55">
        <f t="shared" si="63"/>
        <v>31000</v>
      </c>
      <c r="S122" s="55">
        <f t="shared" si="63"/>
        <v>31000</v>
      </c>
      <c r="T122" s="55">
        <f t="shared" si="63"/>
        <v>31000</v>
      </c>
      <c r="U122" s="55">
        <f t="shared" si="63"/>
        <v>31000</v>
      </c>
      <c r="V122" s="55">
        <f t="shared" si="63"/>
        <v>31000</v>
      </c>
      <c r="W122" s="55">
        <f t="shared" si="63"/>
        <v>31000</v>
      </c>
      <c r="X122" s="55">
        <f t="shared" si="63"/>
        <v>31000</v>
      </c>
      <c r="Y122" s="55">
        <f t="shared" si="64"/>
        <v>31000</v>
      </c>
      <c r="Z122" s="55">
        <f t="shared" si="64"/>
        <v>31000</v>
      </c>
      <c r="AA122" s="55">
        <f t="shared" si="64"/>
        <v>31000</v>
      </c>
      <c r="AB122" s="55">
        <f t="shared" si="64"/>
        <v>31000</v>
      </c>
      <c r="AC122" s="55">
        <f t="shared" si="64"/>
        <v>31000</v>
      </c>
      <c r="AD122" s="55">
        <f t="shared" si="64"/>
        <v>31000</v>
      </c>
      <c r="AE122" s="55">
        <f t="shared" si="64"/>
        <v>31000</v>
      </c>
      <c r="AF122" s="55">
        <f t="shared" si="64"/>
        <v>31000</v>
      </c>
      <c r="AG122" s="55">
        <f t="shared" si="64"/>
        <v>31000</v>
      </c>
      <c r="AH122" s="55">
        <f t="shared" si="64"/>
        <v>31000</v>
      </c>
      <c r="AI122" s="55">
        <f t="shared" si="65"/>
        <v>31000</v>
      </c>
      <c r="AJ122" s="55">
        <f t="shared" si="65"/>
        <v>31000</v>
      </c>
      <c r="AK122" s="55">
        <f t="shared" si="65"/>
        <v>31000</v>
      </c>
      <c r="AL122" s="55">
        <f t="shared" si="65"/>
        <v>31000</v>
      </c>
      <c r="AM122" s="55">
        <f t="shared" si="65"/>
        <v>31000</v>
      </c>
      <c r="AN122" s="55">
        <f t="shared" si="65"/>
        <v>31000</v>
      </c>
      <c r="AO122" s="55">
        <f t="shared" si="65"/>
        <v>31000</v>
      </c>
      <c r="AP122" s="55">
        <f t="shared" si="65"/>
        <v>31000</v>
      </c>
      <c r="AQ122" s="55">
        <f t="shared" si="65"/>
        <v>31000</v>
      </c>
      <c r="AR122" s="55">
        <f t="shared" si="65"/>
        <v>31000</v>
      </c>
      <c r="AS122" s="55">
        <f t="shared" si="66"/>
        <v>31000</v>
      </c>
      <c r="AT122" s="55">
        <f t="shared" si="66"/>
        <v>31000</v>
      </c>
      <c r="AU122" s="55">
        <f t="shared" si="66"/>
        <v>31000</v>
      </c>
      <c r="AV122" s="55">
        <f t="shared" si="66"/>
        <v>31000</v>
      </c>
      <c r="AW122" s="55">
        <f t="shared" si="66"/>
        <v>31000</v>
      </c>
      <c r="AX122" s="55">
        <f t="shared" si="66"/>
        <v>31000</v>
      </c>
      <c r="AY122" s="55">
        <f t="shared" si="66"/>
        <v>31000</v>
      </c>
      <c r="AZ122" s="55">
        <f t="shared" si="66"/>
        <v>31000</v>
      </c>
      <c r="BA122" s="55">
        <f t="shared" si="66"/>
        <v>31000</v>
      </c>
      <c r="BB122" s="55">
        <f t="shared" si="66"/>
        <v>31000</v>
      </c>
      <c r="BC122" s="55">
        <f t="shared" si="66"/>
        <v>31000</v>
      </c>
      <c r="BD122" s="55">
        <f t="shared" si="66"/>
        <v>31000</v>
      </c>
      <c r="BE122" s="55">
        <f t="shared" si="66"/>
        <v>31000</v>
      </c>
      <c r="BF122" s="55">
        <f t="shared" si="66"/>
        <v>31000</v>
      </c>
      <c r="BG122" s="55">
        <f t="shared" si="66"/>
        <v>31000</v>
      </c>
    </row>
    <row r="123" spans="2:59" ht="30" outlineLevel="1">
      <c r="B123" s="200" t="s">
        <v>373</v>
      </c>
      <c r="C123" s="325">
        <v>0.04</v>
      </c>
      <c r="D123" s="329"/>
      <c r="E123" s="329"/>
      <c r="G123" s="168">
        <f>ROUNDUP($G$116*$C123,-3)</f>
        <v>1183000</v>
      </c>
      <c r="H123" s="331" t="s">
        <v>371</v>
      </c>
      <c r="I123" s="328" t="s">
        <v>374</v>
      </c>
      <c r="M123" s="218"/>
      <c r="N123" s="164"/>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row>
    <row r="124" spans="2:59" ht="105" outlineLevel="1">
      <c r="B124" s="333" t="s">
        <v>375</v>
      </c>
      <c r="C124" s="160"/>
      <c r="D124" s="330"/>
      <c r="E124" s="330"/>
      <c r="F124" s="137"/>
      <c r="G124" s="168">
        <f>C21*40*3*SUM(D18:F18)</f>
        <v>675000</v>
      </c>
      <c r="H124" s="332" t="s">
        <v>376</v>
      </c>
      <c r="I124" s="328" t="s">
        <v>377</v>
      </c>
      <c r="M124" s="218" t="str">
        <f>B124</f>
        <v>Documentation Updates (reports, asset management systems, as built drawings, P&amp;IDs, Operating and Maintenance Manuals, field labelling, GIS updates, OEM manuals, SSRMP plans, SOPs, contractor servicing plans, operational and compliance checklists)</v>
      </c>
      <c r="N124" s="164"/>
      <c r="O124" s="55">
        <f t="shared" ref="O124:BG124" si="67">ROUNDUP($O$105*$C124,-3)</f>
        <v>0</v>
      </c>
      <c r="P124" s="55">
        <f t="shared" si="67"/>
        <v>0</v>
      </c>
      <c r="Q124" s="55">
        <f t="shared" si="67"/>
        <v>0</v>
      </c>
      <c r="R124" s="55">
        <f t="shared" si="67"/>
        <v>0</v>
      </c>
      <c r="S124" s="55">
        <f t="shared" si="67"/>
        <v>0</v>
      </c>
      <c r="T124" s="55">
        <f t="shared" si="67"/>
        <v>0</v>
      </c>
      <c r="U124" s="55">
        <f t="shared" si="67"/>
        <v>0</v>
      </c>
      <c r="V124" s="55">
        <f t="shared" si="67"/>
        <v>0</v>
      </c>
      <c r="W124" s="55">
        <f t="shared" si="67"/>
        <v>0</v>
      </c>
      <c r="X124" s="55">
        <f t="shared" si="67"/>
        <v>0</v>
      </c>
      <c r="Y124" s="55">
        <f t="shared" si="67"/>
        <v>0</v>
      </c>
      <c r="Z124" s="55">
        <f t="shared" si="67"/>
        <v>0</v>
      </c>
      <c r="AA124" s="55">
        <f t="shared" si="67"/>
        <v>0</v>
      </c>
      <c r="AB124" s="55">
        <f t="shared" si="67"/>
        <v>0</v>
      </c>
      <c r="AC124" s="55">
        <f t="shared" si="67"/>
        <v>0</v>
      </c>
      <c r="AD124" s="55">
        <f t="shared" si="67"/>
        <v>0</v>
      </c>
      <c r="AE124" s="55">
        <f t="shared" si="67"/>
        <v>0</v>
      </c>
      <c r="AF124" s="55">
        <f t="shared" si="67"/>
        <v>0</v>
      </c>
      <c r="AG124" s="55">
        <f t="shared" si="67"/>
        <v>0</v>
      </c>
      <c r="AH124" s="55">
        <f t="shared" si="67"/>
        <v>0</v>
      </c>
      <c r="AI124" s="55">
        <f t="shared" si="67"/>
        <v>0</v>
      </c>
      <c r="AJ124" s="55">
        <f t="shared" si="67"/>
        <v>0</v>
      </c>
      <c r="AK124" s="55">
        <f t="shared" si="67"/>
        <v>0</v>
      </c>
      <c r="AL124" s="55">
        <f t="shared" si="67"/>
        <v>0</v>
      </c>
      <c r="AM124" s="55">
        <f t="shared" si="67"/>
        <v>0</v>
      </c>
      <c r="AN124" s="55">
        <f t="shared" si="67"/>
        <v>0</v>
      </c>
      <c r="AO124" s="55">
        <f t="shared" si="67"/>
        <v>0</v>
      </c>
      <c r="AP124" s="55">
        <f t="shared" si="67"/>
        <v>0</v>
      </c>
      <c r="AQ124" s="55">
        <f t="shared" si="67"/>
        <v>0</v>
      </c>
      <c r="AR124" s="55">
        <f t="shared" si="67"/>
        <v>0</v>
      </c>
      <c r="AS124" s="55">
        <f t="shared" si="67"/>
        <v>0</v>
      </c>
      <c r="AT124" s="55">
        <f t="shared" si="67"/>
        <v>0</v>
      </c>
      <c r="AU124" s="55">
        <f t="shared" si="67"/>
        <v>0</v>
      </c>
      <c r="AV124" s="55">
        <f t="shared" si="67"/>
        <v>0</v>
      </c>
      <c r="AW124" s="55">
        <f t="shared" si="67"/>
        <v>0</v>
      </c>
      <c r="AX124" s="55">
        <f t="shared" si="67"/>
        <v>0</v>
      </c>
      <c r="AY124" s="55">
        <f t="shared" si="67"/>
        <v>0</v>
      </c>
      <c r="AZ124" s="55">
        <f t="shared" si="67"/>
        <v>0</v>
      </c>
      <c r="BA124" s="55">
        <f t="shared" si="67"/>
        <v>0</v>
      </c>
      <c r="BB124" s="55">
        <f t="shared" si="67"/>
        <v>0</v>
      </c>
      <c r="BC124" s="55">
        <f t="shared" si="67"/>
        <v>0</v>
      </c>
      <c r="BD124" s="55">
        <f t="shared" si="67"/>
        <v>0</v>
      </c>
      <c r="BE124" s="55">
        <f t="shared" si="67"/>
        <v>0</v>
      </c>
      <c r="BF124" s="55">
        <f t="shared" si="67"/>
        <v>0</v>
      </c>
      <c r="BG124" s="55">
        <f t="shared" si="67"/>
        <v>0</v>
      </c>
    </row>
    <row r="125" spans="2:59" ht="45" outlineLevel="1">
      <c r="B125" s="164" t="s">
        <v>378</v>
      </c>
      <c r="G125" s="189">
        <f>12*40*C21</f>
        <v>60000</v>
      </c>
      <c r="H125" s="53" t="s">
        <v>379</v>
      </c>
      <c r="J125" s="53"/>
      <c r="L125" s="53"/>
    </row>
    <row r="126" spans="2:59" ht="30" outlineLevel="1">
      <c r="B126" s="200" t="s">
        <v>380</v>
      </c>
      <c r="C126" s="160"/>
      <c r="D126" s="165"/>
      <c r="E126" s="165"/>
      <c r="G126" s="168">
        <f>SUM(D18:F18)*40000</f>
        <v>1800000</v>
      </c>
      <c r="H126" s="53" t="s">
        <v>348</v>
      </c>
      <c r="I126" s="53" t="s">
        <v>381</v>
      </c>
      <c r="M126" s="218" t="str">
        <f>B126</f>
        <v>SCADA communications protocols upgrade (transition to DNP3)</v>
      </c>
      <c r="N126" s="164"/>
      <c r="O126" s="170">
        <f t="shared" ref="O126:BG126" si="68">ROUNDUP($O$105*$C126,-3)</f>
        <v>0</v>
      </c>
      <c r="P126" s="170">
        <f t="shared" si="68"/>
        <v>0</v>
      </c>
      <c r="Q126" s="170">
        <f t="shared" si="68"/>
        <v>0</v>
      </c>
      <c r="R126" s="170">
        <f t="shared" si="68"/>
        <v>0</v>
      </c>
      <c r="S126" s="170">
        <f t="shared" si="68"/>
        <v>0</v>
      </c>
      <c r="T126" s="170">
        <f t="shared" si="68"/>
        <v>0</v>
      </c>
      <c r="U126" s="170">
        <f t="shared" si="68"/>
        <v>0</v>
      </c>
      <c r="V126" s="170">
        <f t="shared" si="68"/>
        <v>0</v>
      </c>
      <c r="W126" s="170">
        <f t="shared" si="68"/>
        <v>0</v>
      </c>
      <c r="X126" s="170">
        <f t="shared" si="68"/>
        <v>0</v>
      </c>
      <c r="Y126" s="170">
        <f t="shared" si="68"/>
        <v>0</v>
      </c>
      <c r="Z126" s="170">
        <f t="shared" si="68"/>
        <v>0</v>
      </c>
      <c r="AA126" s="170">
        <f t="shared" si="68"/>
        <v>0</v>
      </c>
      <c r="AB126" s="170">
        <f t="shared" si="68"/>
        <v>0</v>
      </c>
      <c r="AC126" s="170">
        <f t="shared" si="68"/>
        <v>0</v>
      </c>
      <c r="AD126" s="170">
        <f t="shared" si="68"/>
        <v>0</v>
      </c>
      <c r="AE126" s="170">
        <f t="shared" si="68"/>
        <v>0</v>
      </c>
      <c r="AF126" s="170">
        <f t="shared" si="68"/>
        <v>0</v>
      </c>
      <c r="AG126" s="170">
        <f t="shared" si="68"/>
        <v>0</v>
      </c>
      <c r="AH126" s="170">
        <f t="shared" si="68"/>
        <v>0</v>
      </c>
      <c r="AI126" s="170">
        <f t="shared" si="68"/>
        <v>0</v>
      </c>
      <c r="AJ126" s="170">
        <f t="shared" si="68"/>
        <v>0</v>
      </c>
      <c r="AK126" s="170">
        <f t="shared" si="68"/>
        <v>0</v>
      </c>
      <c r="AL126" s="170">
        <f t="shared" si="68"/>
        <v>0</v>
      </c>
      <c r="AM126" s="170">
        <f t="shared" si="68"/>
        <v>0</v>
      </c>
      <c r="AN126" s="170">
        <f t="shared" si="68"/>
        <v>0</v>
      </c>
      <c r="AO126" s="170">
        <f t="shared" si="68"/>
        <v>0</v>
      </c>
      <c r="AP126" s="170">
        <f t="shared" si="68"/>
        <v>0</v>
      </c>
      <c r="AQ126" s="170">
        <f t="shared" si="68"/>
        <v>0</v>
      </c>
      <c r="AR126" s="170">
        <f t="shared" si="68"/>
        <v>0</v>
      </c>
      <c r="AS126" s="170">
        <f t="shared" si="68"/>
        <v>0</v>
      </c>
      <c r="AT126" s="170">
        <f t="shared" si="68"/>
        <v>0</v>
      </c>
      <c r="AU126" s="170">
        <f t="shared" si="68"/>
        <v>0</v>
      </c>
      <c r="AV126" s="170">
        <f t="shared" si="68"/>
        <v>0</v>
      </c>
      <c r="AW126" s="170">
        <f t="shared" si="68"/>
        <v>0</v>
      </c>
      <c r="AX126" s="170">
        <f t="shared" si="68"/>
        <v>0</v>
      </c>
      <c r="AY126" s="170">
        <f t="shared" si="68"/>
        <v>0</v>
      </c>
      <c r="AZ126" s="170">
        <f t="shared" si="68"/>
        <v>0</v>
      </c>
      <c r="BA126" s="170">
        <f t="shared" si="68"/>
        <v>0</v>
      </c>
      <c r="BB126" s="170">
        <f t="shared" si="68"/>
        <v>0</v>
      </c>
      <c r="BC126" s="170">
        <f t="shared" si="68"/>
        <v>0</v>
      </c>
      <c r="BD126" s="170">
        <f t="shared" si="68"/>
        <v>0</v>
      </c>
      <c r="BE126" s="170">
        <f t="shared" si="68"/>
        <v>0</v>
      </c>
      <c r="BF126" s="170">
        <f t="shared" si="68"/>
        <v>0</v>
      </c>
      <c r="BG126" s="170">
        <f t="shared" si="68"/>
        <v>0</v>
      </c>
    </row>
    <row r="127" spans="2:59" ht="30" outlineLevel="1">
      <c r="B127" s="333" t="s">
        <v>382</v>
      </c>
      <c r="C127" s="160"/>
      <c r="D127" s="165"/>
      <c r="E127" s="165"/>
      <c r="G127" s="168">
        <f>1000*SUM(D18:F18)</f>
        <v>45000</v>
      </c>
      <c r="H127" s="328" t="s">
        <v>383</v>
      </c>
      <c r="I127" s="53" t="s">
        <v>384</v>
      </c>
      <c r="M127" s="218"/>
      <c r="N127" s="164"/>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row>
    <row r="128" spans="2:59" ht="30.75" outlineLevel="1" thickBot="1">
      <c r="B128" s="234" t="s">
        <v>116</v>
      </c>
      <c r="C128" s="235"/>
      <c r="D128" s="184"/>
      <c r="E128" s="184"/>
      <c r="F128" s="183"/>
      <c r="G128" s="184">
        <f>C21*8*5*7</f>
        <v>35000</v>
      </c>
      <c r="H128" s="337" t="s">
        <v>385</v>
      </c>
      <c r="I128" s="185" t="s">
        <v>386</v>
      </c>
      <c r="J128" s="183"/>
      <c r="M128" s="394" t="str">
        <f>B128</f>
        <v>Training</v>
      </c>
      <c r="N128" s="234"/>
      <c r="O128" s="184">
        <f t="shared" ref="O128:BG128" si="69">ROUNDUP($O$105*$C128,-3)</f>
        <v>0</v>
      </c>
      <c r="P128" s="184">
        <f t="shared" si="69"/>
        <v>0</v>
      </c>
      <c r="Q128" s="184">
        <f t="shared" si="69"/>
        <v>0</v>
      </c>
      <c r="R128" s="184">
        <f t="shared" si="69"/>
        <v>0</v>
      </c>
      <c r="S128" s="184">
        <f t="shared" si="69"/>
        <v>0</v>
      </c>
      <c r="T128" s="184">
        <f t="shared" si="69"/>
        <v>0</v>
      </c>
      <c r="U128" s="184">
        <f t="shared" si="69"/>
        <v>0</v>
      </c>
      <c r="V128" s="184">
        <f t="shared" si="69"/>
        <v>0</v>
      </c>
      <c r="W128" s="184">
        <f t="shared" si="69"/>
        <v>0</v>
      </c>
      <c r="X128" s="184">
        <f t="shared" si="69"/>
        <v>0</v>
      </c>
      <c r="Y128" s="184">
        <f t="shared" si="69"/>
        <v>0</v>
      </c>
      <c r="Z128" s="184">
        <f t="shared" si="69"/>
        <v>0</v>
      </c>
      <c r="AA128" s="184">
        <f t="shared" si="69"/>
        <v>0</v>
      </c>
      <c r="AB128" s="184">
        <f t="shared" si="69"/>
        <v>0</v>
      </c>
      <c r="AC128" s="184">
        <f t="shared" si="69"/>
        <v>0</v>
      </c>
      <c r="AD128" s="184">
        <f t="shared" si="69"/>
        <v>0</v>
      </c>
      <c r="AE128" s="184">
        <f t="shared" si="69"/>
        <v>0</v>
      </c>
      <c r="AF128" s="184">
        <f t="shared" si="69"/>
        <v>0</v>
      </c>
      <c r="AG128" s="184">
        <f t="shared" si="69"/>
        <v>0</v>
      </c>
      <c r="AH128" s="184">
        <f t="shared" si="69"/>
        <v>0</v>
      </c>
      <c r="AI128" s="184">
        <f t="shared" si="69"/>
        <v>0</v>
      </c>
      <c r="AJ128" s="184">
        <f t="shared" si="69"/>
        <v>0</v>
      </c>
      <c r="AK128" s="184">
        <f t="shared" si="69"/>
        <v>0</v>
      </c>
      <c r="AL128" s="184">
        <f t="shared" si="69"/>
        <v>0</v>
      </c>
      <c r="AM128" s="184">
        <f t="shared" si="69"/>
        <v>0</v>
      </c>
      <c r="AN128" s="184">
        <f t="shared" si="69"/>
        <v>0</v>
      </c>
      <c r="AO128" s="184">
        <f t="shared" si="69"/>
        <v>0</v>
      </c>
      <c r="AP128" s="184">
        <f t="shared" si="69"/>
        <v>0</v>
      </c>
      <c r="AQ128" s="184">
        <f t="shared" si="69"/>
        <v>0</v>
      </c>
      <c r="AR128" s="184">
        <f t="shared" si="69"/>
        <v>0</v>
      </c>
      <c r="AS128" s="184">
        <f t="shared" si="69"/>
        <v>0</v>
      </c>
      <c r="AT128" s="184">
        <f t="shared" si="69"/>
        <v>0</v>
      </c>
      <c r="AU128" s="184">
        <f t="shared" si="69"/>
        <v>0</v>
      </c>
      <c r="AV128" s="184">
        <f t="shared" si="69"/>
        <v>0</v>
      </c>
      <c r="AW128" s="184">
        <f t="shared" si="69"/>
        <v>0</v>
      </c>
      <c r="AX128" s="184">
        <f t="shared" si="69"/>
        <v>0</v>
      </c>
      <c r="AY128" s="184">
        <f t="shared" si="69"/>
        <v>0</v>
      </c>
      <c r="AZ128" s="184">
        <f t="shared" si="69"/>
        <v>0</v>
      </c>
      <c r="BA128" s="184">
        <f t="shared" si="69"/>
        <v>0</v>
      </c>
      <c r="BB128" s="184">
        <f t="shared" si="69"/>
        <v>0</v>
      </c>
      <c r="BC128" s="184">
        <f t="shared" si="69"/>
        <v>0</v>
      </c>
      <c r="BD128" s="184">
        <f t="shared" si="69"/>
        <v>0</v>
      </c>
      <c r="BE128" s="184">
        <f t="shared" si="69"/>
        <v>0</v>
      </c>
      <c r="BF128" s="184">
        <f t="shared" si="69"/>
        <v>0</v>
      </c>
      <c r="BG128" s="184">
        <f t="shared" si="69"/>
        <v>0</v>
      </c>
    </row>
    <row r="129" spans="1:59" ht="15.75" thickTop="1">
      <c r="B129" s="167" t="s">
        <v>387</v>
      </c>
      <c r="C129" s="192">
        <f>G129/G116</f>
        <v>0.34854378784291173</v>
      </c>
      <c r="D129" s="121"/>
      <c r="E129" s="121"/>
      <c r="F129" s="121"/>
      <c r="G129" s="161">
        <f>SUM(G120:G128)</f>
        <v>10304000</v>
      </c>
      <c r="H129" s="157"/>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c r="BF129" s="182"/>
      <c r="BG129" s="182"/>
    </row>
    <row r="130" spans="1:59">
      <c r="D130" s="121"/>
      <c r="E130" s="121"/>
      <c r="F130" s="121"/>
      <c r="G130" s="161"/>
      <c r="H130" s="157"/>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row>
    <row r="131" spans="1:59">
      <c r="B131" s="56" t="s">
        <v>388</v>
      </c>
      <c r="D131" s="121"/>
      <c r="E131" s="121"/>
      <c r="G131" s="193">
        <f>G116+G129</f>
        <v>39867000</v>
      </c>
      <c r="H131" s="157"/>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row>
    <row r="132" spans="1:59">
      <c r="B132" s="56"/>
      <c r="D132" s="334"/>
      <c r="E132" s="334"/>
      <c r="G132" s="193"/>
      <c r="H132" s="171"/>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row>
    <row r="133" spans="1:59" ht="30.75" thickBot="1">
      <c r="B133" s="234" t="s">
        <v>131</v>
      </c>
      <c r="C133" s="235">
        <v>0.3</v>
      </c>
      <c r="D133" s="236"/>
      <c r="E133" s="236"/>
      <c r="F133" s="236"/>
      <c r="G133" s="336">
        <f>ROUNDUP(C133*G131,-3)</f>
        <v>11961000</v>
      </c>
      <c r="H133" s="337" t="s">
        <v>389</v>
      </c>
      <c r="I133" s="185"/>
      <c r="J133" s="183"/>
      <c r="K133" s="183"/>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row>
    <row r="134" spans="1:59" ht="15.75" thickTop="1">
      <c r="B134" s="167" t="s">
        <v>390</v>
      </c>
      <c r="C134" s="361">
        <f>C133</f>
        <v>0.3</v>
      </c>
      <c r="G134" s="166">
        <f>G133+G131</f>
        <v>51828000</v>
      </c>
      <c r="K134"/>
      <c r="N134" s="167"/>
    </row>
    <row r="135" spans="1:59">
      <c r="B135" s="167"/>
      <c r="G135" s="166"/>
      <c r="K135"/>
      <c r="N135" s="167"/>
    </row>
    <row r="136" spans="1:59" ht="60.75" thickBot="1">
      <c r="B136" s="234" t="s">
        <v>133</v>
      </c>
      <c r="C136" s="235">
        <v>0.05</v>
      </c>
      <c r="D136" s="183"/>
      <c r="E136" s="183"/>
      <c r="F136" s="183"/>
      <c r="G136" s="438">
        <f>ROUNDUP(G134*(1+C136)^(28/12)-G134,-3)</f>
        <v>6250000</v>
      </c>
      <c r="H136" s="363" t="s">
        <v>391</v>
      </c>
      <c r="I136" s="185" t="s">
        <v>392</v>
      </c>
      <c r="J136" s="183"/>
      <c r="K136" s="183"/>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row>
    <row r="137" spans="1:59" ht="15.75" thickTop="1">
      <c r="B137" s="56" t="s">
        <v>393</v>
      </c>
      <c r="C137" s="361">
        <f>C136</f>
        <v>0.05</v>
      </c>
      <c r="E137" s="121"/>
      <c r="F137" s="137"/>
      <c r="G137" s="161">
        <f>SUM(G134:G136)</f>
        <v>58078000</v>
      </c>
      <c r="H137" s="186"/>
      <c r="K137"/>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row>
    <row r="138" spans="1:59">
      <c r="D138" s="121"/>
      <c r="E138" s="121"/>
      <c r="F138" s="137"/>
      <c r="G138" s="137"/>
      <c r="H138" s="186"/>
      <c r="K138"/>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row>
    <row r="139" spans="1:59">
      <c r="D139" s="121"/>
      <c r="E139" s="121"/>
      <c r="F139" s="137"/>
      <c r="G139" s="137"/>
      <c r="H139" s="186"/>
      <c r="K139"/>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row>
    <row r="140" spans="1:59">
      <c r="D140" s="121"/>
      <c r="E140" s="121"/>
      <c r="F140" s="137"/>
      <c r="G140" s="137"/>
      <c r="H140" s="186"/>
      <c r="K140"/>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row>
    <row r="141" spans="1:59">
      <c r="D141" s="121"/>
      <c r="E141" s="121"/>
      <c r="F141" s="137"/>
      <c r="G141" s="137"/>
      <c r="H141" s="186"/>
      <c r="K14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row>
    <row r="142" spans="1:59">
      <c r="D142" s="121"/>
      <c r="E142" s="121"/>
      <c r="F142" s="137"/>
      <c r="G142" s="137"/>
      <c r="H142" s="186"/>
      <c r="K142"/>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row>
    <row r="143" spans="1:59" ht="18.75">
      <c r="A143" s="223" t="s">
        <v>394</v>
      </c>
      <c r="K143"/>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row>
    <row r="144" spans="1:59" ht="30">
      <c r="B144" s="178" t="s">
        <v>86</v>
      </c>
      <c r="C144" s="178"/>
      <c r="D144" s="178"/>
      <c r="E144" s="178"/>
      <c r="F144" s="178" t="s">
        <v>395</v>
      </c>
      <c r="G144" s="178" t="s">
        <v>137</v>
      </c>
      <c r="H144" s="179" t="s">
        <v>396</v>
      </c>
      <c r="I144" s="179" t="s">
        <v>159</v>
      </c>
      <c r="J144" s="178"/>
      <c r="K144" s="156"/>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row>
    <row r="145" spans="2:59" ht="30" collapsed="1">
      <c r="B145" s="219" t="s">
        <v>136</v>
      </c>
      <c r="J145" s="219"/>
      <c r="K145" s="219"/>
      <c r="L145" s="219"/>
      <c r="M145" s="219" t="str">
        <f>B145</f>
        <v>Chemical Supply, Delivery and Waste Disposal</v>
      </c>
      <c r="N145" s="164"/>
    </row>
    <row r="146" spans="2:59" ht="28.7" hidden="1" customHeight="1" outlineLevel="1">
      <c r="B146" s="237" t="s">
        <v>397</v>
      </c>
      <c r="E146" s="321"/>
      <c r="F146" s="221"/>
      <c r="G146" s="221">
        <f>ROUNDUP(SUM(O146:BG146),-3)</f>
        <v>58196000</v>
      </c>
      <c r="I146" s="53" t="s">
        <v>398</v>
      </c>
      <c r="J146" s="237"/>
      <c r="K146" s="220"/>
      <c r="L146" s="237"/>
      <c r="M146" s="220" t="str">
        <f>B146</f>
        <v>total annual flow (m3/yr)</v>
      </c>
      <c r="N146" s="164"/>
      <c r="O146" s="221">
        <f t="shared" ref="O146:BD146" si="70">O$7*365*24</f>
        <v>919800</v>
      </c>
      <c r="P146" s="151">
        <f t="shared" si="70"/>
        <v>982872</v>
      </c>
      <c r="Q146" s="151">
        <f t="shared" si="70"/>
        <v>998640</v>
      </c>
      <c r="R146" s="151">
        <f t="shared" si="70"/>
        <v>2220660</v>
      </c>
      <c r="S146" s="151">
        <f t="shared" si="70"/>
        <v>1345536</v>
      </c>
      <c r="T146" s="151">
        <f t="shared" si="70"/>
        <v>2413967.3142000008</v>
      </c>
      <c r="U146" s="151">
        <f t="shared" si="70"/>
        <v>1182600</v>
      </c>
      <c r="V146" s="151">
        <f t="shared" si="70"/>
        <v>1314000</v>
      </c>
      <c r="W146" s="151">
        <f t="shared" si="70"/>
        <v>1116374.3999999999</v>
      </c>
      <c r="X146" s="151">
        <f t="shared" si="70"/>
        <v>935568</v>
      </c>
      <c r="Y146" s="151">
        <f t="shared" si="70"/>
        <v>919800</v>
      </c>
      <c r="Z146" s="151">
        <f t="shared" si="70"/>
        <v>748980</v>
      </c>
      <c r="AA146" s="151">
        <f t="shared" si="70"/>
        <v>843588</v>
      </c>
      <c r="AB146" s="151">
        <f t="shared" si="70"/>
        <v>1524240</v>
      </c>
      <c r="AC146" s="151">
        <f t="shared" si="70"/>
        <v>1274580</v>
      </c>
      <c r="AD146" s="151">
        <f t="shared" si="70"/>
        <v>1448027.9999999998</v>
      </c>
      <c r="AE146" s="151">
        <f t="shared" si="70"/>
        <v>727955.99999999988</v>
      </c>
      <c r="AF146" s="151">
        <f t="shared" si="70"/>
        <v>3468960</v>
      </c>
      <c r="AG146" s="151">
        <f t="shared" si="70"/>
        <v>2890800</v>
      </c>
      <c r="AH146" s="151">
        <f t="shared" si="70"/>
        <v>1235160</v>
      </c>
      <c r="AI146" s="151">
        <f t="shared" si="70"/>
        <v>3022157.9519999996</v>
      </c>
      <c r="AJ146" s="151">
        <f t="shared" si="70"/>
        <v>2628000</v>
      </c>
      <c r="AK146" s="151">
        <f t="shared" si="70"/>
        <v>662255.99999999988</v>
      </c>
      <c r="AL146" s="151">
        <f t="shared" si="70"/>
        <v>735840</v>
      </c>
      <c r="AM146" s="151">
        <f t="shared" si="70"/>
        <v>735840</v>
      </c>
      <c r="AN146" s="151">
        <f t="shared" si="70"/>
        <v>1387584</v>
      </c>
      <c r="AO146" s="151">
        <f t="shared" si="70"/>
        <v>788400</v>
      </c>
      <c r="AP146" s="151">
        <f t="shared" si="70"/>
        <v>1524240</v>
      </c>
      <c r="AQ146" s="151">
        <f t="shared" si="70"/>
        <v>1445400</v>
      </c>
      <c r="AR146" s="151">
        <f t="shared" si="70"/>
        <v>1179971.9999999998</v>
      </c>
      <c r="AS146" s="151">
        <f t="shared" si="70"/>
        <v>1182600</v>
      </c>
      <c r="AT146" s="151">
        <f t="shared" si="70"/>
        <v>1182600</v>
      </c>
      <c r="AU146" s="151">
        <f t="shared" si="70"/>
        <v>1182600</v>
      </c>
      <c r="AV146" s="151">
        <f t="shared" si="70"/>
        <v>1342907.9999999998</v>
      </c>
      <c r="AW146" s="151">
        <f t="shared" si="70"/>
        <v>360036</v>
      </c>
      <c r="AX146" s="151">
        <f t="shared" si="70"/>
        <v>1465576.6857385256</v>
      </c>
      <c r="AY146" s="151">
        <f t="shared" si="70"/>
        <v>315360</v>
      </c>
      <c r="AZ146" s="151">
        <f t="shared" si="70"/>
        <v>1751999.9999999995</v>
      </c>
      <c r="BA146" s="151">
        <f t="shared" si="70"/>
        <v>1432260</v>
      </c>
      <c r="BB146" s="151">
        <f t="shared" si="70"/>
        <v>1156320</v>
      </c>
      <c r="BC146" s="151">
        <f t="shared" si="70"/>
        <v>1314000</v>
      </c>
      <c r="BD146" s="151">
        <f t="shared" si="70"/>
        <v>2018303.9999999995</v>
      </c>
      <c r="BE146" s="322">
        <f>289376*(BE6/(BE6+BF6))</f>
        <v>180860</v>
      </c>
      <c r="BF146" s="322">
        <f>289376-BE146</f>
        <v>108516</v>
      </c>
      <c r="BG146" s="322">
        <v>580000</v>
      </c>
    </row>
    <row r="147" spans="2:59" hidden="1" outlineLevel="1">
      <c r="B147" s="237" t="s">
        <v>399</v>
      </c>
      <c r="G147" s="221">
        <f>ROUNDUP(SUM(O147:BG147),-3)</f>
        <v>239000</v>
      </c>
      <c r="J147" s="237"/>
      <c r="K147" s="220"/>
      <c r="L147" s="237"/>
      <c r="M147" s="220" t="str">
        <f>B147</f>
        <v>volume of chemical used per year(L/yr)</v>
      </c>
      <c r="N147" s="164"/>
      <c r="O147" s="151">
        <f>O146*($C$22/1000)/'Chemical Sizing'!$B$28</f>
        <v>3765.2656044610808</v>
      </c>
      <c r="P147" s="151">
        <f>P146*($C$22/1000)/'Chemical Sizing'!$B$28</f>
        <v>4023.4552459098409</v>
      </c>
      <c r="Q147" s="151">
        <f>Q146*($C$22/1000)/'Chemical Sizing'!$B$28</f>
        <v>4088.0026562720309</v>
      </c>
      <c r="R147" s="151">
        <f>R146*($C$22/1000)/'Chemical Sizing'!$B$28</f>
        <v>9090.4269593417539</v>
      </c>
      <c r="S147" s="151">
        <f>S146*($C$22/1000)/'Chemical Sizing'!$B$28</f>
        <v>5508.0456842402091</v>
      </c>
      <c r="T147" s="151">
        <f>T146*($C$22/1000)/'Chemical Sizing'!$B$28</f>
        <v>9881.7439643950402</v>
      </c>
      <c r="U147" s="151">
        <f>U146*($C$22/1000)/'Chemical Sizing'!$B$28</f>
        <v>4841.055777164247</v>
      </c>
      <c r="V147" s="151">
        <f>V146*($C$22/1000)/'Chemical Sizing'!$B$28</f>
        <v>5378.95086351583</v>
      </c>
      <c r="W147" s="151">
        <f>W146*($C$22/1000)/'Chemical Sizing'!$B$28</f>
        <v>4569.9566536430484</v>
      </c>
      <c r="X147" s="151">
        <f>X146*($C$22/1000)/'Chemical Sizing'!$B$28</f>
        <v>3829.8130148232713</v>
      </c>
      <c r="Y147" s="151">
        <f>Y146*($C$22/1000)/'Chemical Sizing'!$B$28</f>
        <v>3765.2656044610808</v>
      </c>
      <c r="Z147" s="151">
        <f>Z146*($C$22/1000)/'Chemical Sizing'!$B$28</f>
        <v>3066.0019922040233</v>
      </c>
      <c r="AA147" s="151">
        <f>AA146*($C$22/1000)/'Chemical Sizing'!$B$28</f>
        <v>3453.286454377163</v>
      </c>
      <c r="AB147" s="151">
        <f>AB146*($C$22/1000)/'Chemical Sizing'!$B$28</f>
        <v>6239.583001678363</v>
      </c>
      <c r="AC147" s="151">
        <f>AC146*($C$22/1000)/'Chemical Sizing'!$B$28</f>
        <v>5217.5823376103554</v>
      </c>
      <c r="AD147" s="151">
        <f>AD146*($C$22/1000)/'Chemical Sizing'!$B$28</f>
        <v>5927.6038515944438</v>
      </c>
      <c r="AE147" s="151">
        <f>AE146*($C$22/1000)/'Chemical Sizing'!$B$28</f>
        <v>2979.9387783877692</v>
      </c>
      <c r="AF147" s="151">
        <f>AF146*($C$22/1000)/'Chemical Sizing'!$B$28</f>
        <v>14200.43027968179</v>
      </c>
      <c r="AG147" s="151">
        <f>AG146*($C$22/1000)/'Chemical Sizing'!$B$28</f>
        <v>11833.691899734826</v>
      </c>
      <c r="AH147" s="151">
        <f>AH146*($C$22/1000)/'Chemical Sizing'!$B$28</f>
        <v>5056.2138117048808</v>
      </c>
      <c r="AI147" s="151">
        <f>AI146*($C$22/1000)/'Chemical Sizing'!$B$28</f>
        <v>12371.414859658773</v>
      </c>
      <c r="AJ147" s="151">
        <f>AJ146*($C$22/1000)/'Chemical Sizing'!$B$28</f>
        <v>10757.90172703166</v>
      </c>
      <c r="AK147" s="151">
        <f>AK146*($C$22/1000)/'Chemical Sizing'!$B$28</f>
        <v>2710.9912352119777</v>
      </c>
      <c r="AL147" s="151">
        <f>AL146*($C$22/1000)/'Chemical Sizing'!$B$28</f>
        <v>3012.2124835688646</v>
      </c>
      <c r="AM147" s="151">
        <f>AM146*($C$22/1000)/'Chemical Sizing'!$B$28</f>
        <v>3012.2124835688646</v>
      </c>
      <c r="AN147" s="151">
        <f>AN146*($C$22/1000)/'Chemical Sizing'!$B$28</f>
        <v>5680.1721118727164</v>
      </c>
      <c r="AO147" s="151">
        <f>AO146*($C$22/1000)/'Chemical Sizing'!$B$28</f>
        <v>3227.3705181094979</v>
      </c>
      <c r="AP147" s="151">
        <f>AP146*($C$22/1000)/'Chemical Sizing'!$B$28</f>
        <v>6239.583001678363</v>
      </c>
      <c r="AQ147" s="151">
        <f>AQ146*($C$22/1000)/'Chemical Sizing'!$B$28</f>
        <v>5916.8459498674129</v>
      </c>
      <c r="AR147" s="151">
        <f>AR146*($C$22/1000)/'Chemical Sizing'!$B$28</f>
        <v>4830.2978754372143</v>
      </c>
      <c r="AS147" s="151">
        <f>AS146*($C$22/1000)/'Chemical Sizing'!$B$28</f>
        <v>4841.055777164247</v>
      </c>
      <c r="AT147" s="151">
        <f>AT146*($C$22/1000)/'Chemical Sizing'!$B$28</f>
        <v>4841.055777164247</v>
      </c>
      <c r="AU147" s="151">
        <f>AU146*($C$22/1000)/'Chemical Sizing'!$B$28</f>
        <v>4841.055777164247</v>
      </c>
      <c r="AV147" s="151">
        <f>AV146*($C$22/1000)/'Chemical Sizing'!$B$28</f>
        <v>5497.2877825131773</v>
      </c>
      <c r="AW147" s="151">
        <f>AW146*($C$22/1000)/'Chemical Sizing'!$B$28</f>
        <v>1473.8325366033375</v>
      </c>
      <c r="AX147" s="151">
        <f>AX146*($C$22/1000)/'Chemical Sizing'!$B$28</f>
        <v>5999.4406235174356</v>
      </c>
      <c r="AY147" s="151">
        <f>AY146*($C$22/1000)/'Chemical Sizing'!$B$28</f>
        <v>1290.9482072437993</v>
      </c>
      <c r="AZ147" s="151">
        <f>AZ146*($C$22/1000)/'Chemical Sizing'!$B$28</f>
        <v>7171.9344846877711</v>
      </c>
      <c r="BA147" s="151">
        <f>BA146*($C$22/1000)/'Chemical Sizing'!$B$28</f>
        <v>5863.0564412322547</v>
      </c>
      <c r="BB147" s="151">
        <f>BB146*($C$22/1000)/'Chemical Sizing'!$B$28</f>
        <v>4733.4767598939297</v>
      </c>
      <c r="BC147" s="151">
        <f>BC146*($C$22/1000)/'Chemical Sizing'!$B$28</f>
        <v>5378.95086351583</v>
      </c>
      <c r="BD147" s="151">
        <f>BD146*($C$22/1000)/'Chemical Sizing'!$B$28</f>
        <v>8262.0685263603136</v>
      </c>
      <c r="BE147" s="151">
        <f>BE146*($C$22/1000)/'Chemical Sizing'!$B$28</f>
        <v>740.36305416702669</v>
      </c>
      <c r="BF147" s="151">
        <f>BF146*($C$22/1000)/'Chemical Sizing'!$B$28</f>
        <v>444.21783250021599</v>
      </c>
      <c r="BG147" s="151">
        <f>BG146*($C$22/1000)/'Chemical Sizing'!$B$28</f>
        <v>2374.2705485838519</v>
      </c>
    </row>
    <row r="148" spans="2:59" ht="30" hidden="1" outlineLevel="1">
      <c r="B148" s="237" t="s">
        <v>400</v>
      </c>
      <c r="G148" s="168">
        <f>ROUNDUP(SUM(O148:BG148),-3)</f>
        <v>587000</v>
      </c>
      <c r="M148" s="220" t="str">
        <f>B148</f>
        <v xml:space="preserve">chemical cost ($/yr), subject to price fluctuations </v>
      </c>
      <c r="N148" s="164"/>
      <c r="O148" s="168">
        <f>'Vendor Quotes'!$D$95*O147</f>
        <v>9262.5533869742594</v>
      </c>
      <c r="P148" s="168">
        <f>'Vendor Quotes'!$D$95*P147</f>
        <v>9897.6999049382084</v>
      </c>
      <c r="Q148" s="168">
        <f>'Vendor Quotes'!$D$95*Q147</f>
        <v>10056.486534429196</v>
      </c>
      <c r="R148" s="168">
        <f>'Vendor Quotes'!$D$95*R147</f>
        <v>22362.450319980715</v>
      </c>
      <c r="S148" s="168">
        <f>'Vendor Quotes'!$D$95*S147</f>
        <v>13549.792383230913</v>
      </c>
      <c r="T148" s="168">
        <f>'Vendor Quotes'!$D$95*T147</f>
        <v>24309.090152411798</v>
      </c>
      <c r="U148" s="168">
        <f>'Vendor Quotes'!$D$95*U147</f>
        <v>11908.997211824048</v>
      </c>
      <c r="V148" s="168">
        <f>'Vendor Quotes'!$D$95*V147</f>
        <v>13232.219124248941</v>
      </c>
      <c r="W148" s="168">
        <f>'Vendor Quotes'!$D$95*W147</f>
        <v>11242.093367961899</v>
      </c>
      <c r="X148" s="168">
        <f>'Vendor Quotes'!$D$95*X147</f>
        <v>9421.3400164652467</v>
      </c>
      <c r="Y148" s="168">
        <f>'Vendor Quotes'!$D$95*Y147</f>
        <v>9262.5533869742594</v>
      </c>
      <c r="Z148" s="168">
        <f>'Vendor Quotes'!$D$95*Z147</f>
        <v>7542.3649008218972</v>
      </c>
      <c r="AA148" s="168">
        <f>'Vendor Quotes'!$D$95*AA147</f>
        <v>8495.0846777678216</v>
      </c>
      <c r="AB148" s="168">
        <f>'Vendor Quotes'!$D$95*AB147</f>
        <v>15349.374184128772</v>
      </c>
      <c r="AC148" s="168">
        <f>'Vendor Quotes'!$D$95*AC147</f>
        <v>12835.252550521474</v>
      </c>
      <c r="AD148" s="168">
        <f>'Vendor Quotes'!$D$95*AD147</f>
        <v>14581.905474922332</v>
      </c>
      <c r="AE148" s="168">
        <f>'Vendor Quotes'!$D$95*AE147</f>
        <v>7330.6493948339121</v>
      </c>
      <c r="AF148" s="168">
        <f>'Vendor Quotes'!$D$95*AF147</f>
        <v>34933.058488017203</v>
      </c>
      <c r="AG148" s="168">
        <f>'Vendor Quotes'!$D$95*AG147</f>
        <v>29110.882073347671</v>
      </c>
      <c r="AH148" s="168">
        <f>'Vendor Quotes'!$D$95*AH147</f>
        <v>12438.285976794006</v>
      </c>
      <c r="AI148" s="168">
        <f>'Vendor Quotes'!$D$95*AI147</f>
        <v>30433.68055476058</v>
      </c>
      <c r="AJ148" s="168">
        <f>'Vendor Quotes'!$D$95*AJ147</f>
        <v>26464.438248497881</v>
      </c>
      <c r="AK148" s="168">
        <f>'Vendor Quotes'!$D$95*AK147</f>
        <v>6669.0384386214655</v>
      </c>
      <c r="AL148" s="168">
        <f>'Vendor Quotes'!$D$95*AL147</f>
        <v>7410.0427095794066</v>
      </c>
      <c r="AM148" s="168">
        <f>'Vendor Quotes'!$D$95*AM147</f>
        <v>7410.0427095794066</v>
      </c>
      <c r="AN148" s="168">
        <f>'Vendor Quotes'!$D$95*AN147</f>
        <v>13973.223395206882</v>
      </c>
      <c r="AO148" s="168">
        <f>'Vendor Quotes'!$D$95*AO147</f>
        <v>7939.3314745493644</v>
      </c>
      <c r="AP148" s="168">
        <f>'Vendor Quotes'!$D$95*AP147</f>
        <v>15349.374184128772</v>
      </c>
      <c r="AQ148" s="168">
        <f>'Vendor Quotes'!$D$95*AQ147</f>
        <v>14555.441036673836</v>
      </c>
      <c r="AR148" s="168">
        <f>'Vendor Quotes'!$D$95*AR147</f>
        <v>11882.532773575547</v>
      </c>
      <c r="AS148" s="168">
        <f>'Vendor Quotes'!$D$95*AS147</f>
        <v>11908.997211824048</v>
      </c>
      <c r="AT148" s="168">
        <f>'Vendor Quotes'!$D$95*AT147</f>
        <v>11908.997211824048</v>
      </c>
      <c r="AU148" s="168">
        <f>'Vendor Quotes'!$D$95*AU147</f>
        <v>11908.997211824048</v>
      </c>
      <c r="AV148" s="168">
        <f>'Vendor Quotes'!$D$95*AV147</f>
        <v>13523.327944982417</v>
      </c>
      <c r="AW148" s="168">
        <f>'Vendor Quotes'!$D$95*AW147</f>
        <v>3625.6280400442101</v>
      </c>
      <c r="AX148" s="168">
        <f>'Vendor Quotes'!$D$95*AX147</f>
        <v>14758.623933852892</v>
      </c>
      <c r="AY148" s="168">
        <f>'Vendor Quotes'!$D$95*AY147</f>
        <v>3175.7325898197464</v>
      </c>
      <c r="AZ148" s="168">
        <f>'Vendor Quotes'!$D$95*AZ147</f>
        <v>17642.958832331919</v>
      </c>
      <c r="BA148" s="168">
        <f>'Vendor Quotes'!$D$95*BA147</f>
        <v>14423.118845431347</v>
      </c>
      <c r="BB148" s="168">
        <f>'Vendor Quotes'!$D$95*BB147</f>
        <v>11644.352829339066</v>
      </c>
      <c r="BC148" s="168">
        <f>'Vendor Quotes'!$D$95*BC147</f>
        <v>13232.219124248941</v>
      </c>
      <c r="BD148" s="168">
        <f>'Vendor Quotes'!$D$95*BD147</f>
        <v>20324.688574846372</v>
      </c>
      <c r="BE148" s="168">
        <f>'Vendor Quotes'!$D$95*BE147</f>
        <v>1821.2931132508857</v>
      </c>
      <c r="BF148" s="168">
        <f>'Vendor Quotes'!$D$95*BF147</f>
        <v>1092.7758679505314</v>
      </c>
      <c r="BG148" s="168">
        <f>'Vendor Quotes'!$D$95*BG147</f>
        <v>5840.7055495162758</v>
      </c>
    </row>
    <row r="149" spans="2:59" hidden="1" outlineLevel="1">
      <c r="B149" s="237" t="s">
        <v>401</v>
      </c>
      <c r="G149" s="250">
        <f>SUM(O149:BG149)</f>
        <v>1216</v>
      </c>
      <c r="M149" s="220" t="str">
        <f>B149</f>
        <v>containers/year</v>
      </c>
      <c r="N149" s="164"/>
      <c r="O149" s="242">
        <f>ROUNDUP(O147/200,0)</f>
        <v>19</v>
      </c>
      <c r="P149" s="242">
        <f t="shared" ref="P149:BG149" si="71">ROUNDUP(P147/200,0)</f>
        <v>21</v>
      </c>
      <c r="Q149" s="242">
        <f t="shared" si="71"/>
        <v>21</v>
      </c>
      <c r="R149" s="242">
        <f t="shared" si="71"/>
        <v>46</v>
      </c>
      <c r="S149" s="242">
        <f t="shared" si="71"/>
        <v>28</v>
      </c>
      <c r="T149" s="242">
        <f t="shared" si="71"/>
        <v>50</v>
      </c>
      <c r="U149" s="242">
        <f t="shared" si="71"/>
        <v>25</v>
      </c>
      <c r="V149" s="242">
        <f t="shared" si="71"/>
        <v>27</v>
      </c>
      <c r="W149" s="242">
        <f t="shared" si="71"/>
        <v>23</v>
      </c>
      <c r="X149" s="242">
        <f t="shared" si="71"/>
        <v>20</v>
      </c>
      <c r="Y149" s="242">
        <f t="shared" si="71"/>
        <v>19</v>
      </c>
      <c r="Z149" s="242">
        <f t="shared" si="71"/>
        <v>16</v>
      </c>
      <c r="AA149" s="242">
        <f t="shared" si="71"/>
        <v>18</v>
      </c>
      <c r="AB149" s="242">
        <f t="shared" si="71"/>
        <v>32</v>
      </c>
      <c r="AC149" s="242">
        <f t="shared" si="71"/>
        <v>27</v>
      </c>
      <c r="AD149" s="242">
        <f t="shared" si="71"/>
        <v>30</v>
      </c>
      <c r="AE149" s="242">
        <f t="shared" si="71"/>
        <v>15</v>
      </c>
      <c r="AF149" s="242">
        <f t="shared" si="71"/>
        <v>72</v>
      </c>
      <c r="AG149" s="242">
        <f t="shared" si="71"/>
        <v>60</v>
      </c>
      <c r="AH149" s="242">
        <f t="shared" si="71"/>
        <v>26</v>
      </c>
      <c r="AI149" s="242">
        <f t="shared" si="71"/>
        <v>62</v>
      </c>
      <c r="AJ149" s="242">
        <f t="shared" si="71"/>
        <v>54</v>
      </c>
      <c r="AK149" s="242">
        <f t="shared" si="71"/>
        <v>14</v>
      </c>
      <c r="AL149" s="242">
        <f t="shared" si="71"/>
        <v>16</v>
      </c>
      <c r="AM149" s="242">
        <f t="shared" si="71"/>
        <v>16</v>
      </c>
      <c r="AN149" s="242">
        <f t="shared" si="71"/>
        <v>29</v>
      </c>
      <c r="AO149" s="242">
        <f t="shared" si="71"/>
        <v>17</v>
      </c>
      <c r="AP149" s="242">
        <f t="shared" si="71"/>
        <v>32</v>
      </c>
      <c r="AQ149" s="242">
        <f t="shared" si="71"/>
        <v>30</v>
      </c>
      <c r="AR149" s="242">
        <f t="shared" si="71"/>
        <v>25</v>
      </c>
      <c r="AS149" s="242">
        <f t="shared" si="71"/>
        <v>25</v>
      </c>
      <c r="AT149" s="242">
        <f t="shared" si="71"/>
        <v>25</v>
      </c>
      <c r="AU149" s="242">
        <f t="shared" si="71"/>
        <v>25</v>
      </c>
      <c r="AV149" s="242">
        <f t="shared" si="71"/>
        <v>28</v>
      </c>
      <c r="AW149" s="242">
        <f t="shared" si="71"/>
        <v>8</v>
      </c>
      <c r="AX149" s="242">
        <f t="shared" si="71"/>
        <v>30</v>
      </c>
      <c r="AY149" s="242">
        <f t="shared" si="71"/>
        <v>7</v>
      </c>
      <c r="AZ149" s="242">
        <f t="shared" si="71"/>
        <v>36</v>
      </c>
      <c r="BA149" s="242">
        <f t="shared" si="71"/>
        <v>30</v>
      </c>
      <c r="BB149" s="242">
        <f t="shared" si="71"/>
        <v>24</v>
      </c>
      <c r="BC149" s="242">
        <f t="shared" si="71"/>
        <v>27</v>
      </c>
      <c r="BD149" s="242">
        <f t="shared" si="71"/>
        <v>42</v>
      </c>
      <c r="BE149" s="242">
        <f t="shared" si="71"/>
        <v>4</v>
      </c>
      <c r="BF149" s="242">
        <f t="shared" si="71"/>
        <v>3</v>
      </c>
      <c r="BG149" s="242">
        <f t="shared" si="71"/>
        <v>12</v>
      </c>
    </row>
    <row r="150" spans="2:59" hidden="1" outlineLevel="1">
      <c r="B150" s="237" t="s">
        <v>402</v>
      </c>
      <c r="G150" s="205">
        <f>G149*C25</f>
        <v>121600</v>
      </c>
      <c r="I150" s="53" t="s">
        <v>403</v>
      </c>
      <c r="M150" s="220"/>
      <c r="N150" s="164"/>
      <c r="O150" s="242"/>
      <c r="P150" s="242"/>
      <c r="Q150" s="242"/>
      <c r="R150" s="242"/>
      <c r="S150" s="242"/>
      <c r="T150" s="242"/>
      <c r="U150" s="242"/>
      <c r="V150" s="242"/>
      <c r="W150" s="242"/>
      <c r="X150" s="242"/>
      <c r="Y150" s="242"/>
      <c r="Z150" s="242"/>
      <c r="AA150" s="242"/>
      <c r="AB150" s="242"/>
      <c r="AC150" s="242"/>
      <c r="AD150" s="242"/>
      <c r="AE150" s="242"/>
      <c r="AF150" s="242"/>
      <c r="AG150" s="242"/>
      <c r="AH150" s="242"/>
      <c r="AI150" s="242"/>
      <c r="AJ150" s="242"/>
      <c r="AK150" s="242"/>
      <c r="AL150" s="242"/>
      <c r="AM150" s="242"/>
      <c r="AN150" s="242"/>
      <c r="AO150" s="242"/>
      <c r="AP150" s="242"/>
      <c r="AQ150" s="242"/>
      <c r="AR150" s="242"/>
      <c r="AS150" s="242"/>
      <c r="AT150" s="242"/>
      <c r="AU150" s="242"/>
      <c r="AV150" s="242"/>
      <c r="AW150" s="242"/>
      <c r="AX150" s="242"/>
      <c r="AY150" s="242"/>
      <c r="AZ150" s="242"/>
      <c r="BA150" s="242"/>
      <c r="BB150" s="242"/>
      <c r="BC150" s="242"/>
      <c r="BD150" s="242"/>
      <c r="BE150" s="242"/>
      <c r="BF150" s="242"/>
      <c r="BG150" s="242"/>
    </row>
    <row r="151" spans="2:59" hidden="1" outlineLevel="1">
      <c r="B151" s="343" t="s">
        <v>142</v>
      </c>
      <c r="F151" s="342">
        <v>32</v>
      </c>
      <c r="G151" s="205">
        <f>F151*$C$21</f>
        <v>4000</v>
      </c>
      <c r="H151" s="53" t="s">
        <v>383</v>
      </c>
      <c r="M151" s="220"/>
      <c r="N151" s="164"/>
      <c r="O151" s="242"/>
      <c r="P151" s="242"/>
      <c r="Q151" s="242"/>
      <c r="R151" s="242"/>
      <c r="S151" s="242"/>
      <c r="T151" s="242"/>
      <c r="U151" s="242"/>
      <c r="V151" s="242"/>
      <c r="W151" s="242"/>
      <c r="X151" s="242"/>
      <c r="Y151" s="242"/>
      <c r="Z151" s="242"/>
      <c r="AA151" s="242"/>
      <c r="AB151" s="242"/>
      <c r="AC151" s="242"/>
      <c r="AD151" s="242"/>
      <c r="AE151" s="242"/>
      <c r="AF151" s="242"/>
      <c r="AG151" s="242"/>
      <c r="AH151" s="242"/>
      <c r="AI151" s="242"/>
      <c r="AJ151" s="242"/>
      <c r="AK151" s="242"/>
      <c r="AL151" s="242"/>
      <c r="AM151" s="242"/>
      <c r="AN151" s="242"/>
      <c r="AO151" s="242"/>
      <c r="AP151" s="242"/>
      <c r="AQ151" s="242"/>
      <c r="AR151" s="242"/>
      <c r="AS151" s="242"/>
      <c r="AT151" s="242"/>
      <c r="AU151" s="242"/>
      <c r="AV151" s="242"/>
      <c r="AW151" s="242"/>
      <c r="AX151" s="242"/>
      <c r="AY151" s="242"/>
      <c r="AZ151" s="242"/>
      <c r="BA151" s="242"/>
      <c r="BB151" s="242"/>
      <c r="BC151" s="242"/>
      <c r="BD151" s="242"/>
      <c r="BE151" s="242"/>
      <c r="BF151" s="242"/>
      <c r="BG151" s="242"/>
    </row>
    <row r="152" spans="2:59" hidden="1" outlineLevel="1">
      <c r="B152" s="343" t="s">
        <v>143</v>
      </c>
      <c r="F152" s="342">
        <v>32</v>
      </c>
      <c r="G152" s="205">
        <f>F152*$C$21</f>
        <v>4000</v>
      </c>
      <c r="H152" s="53" t="s">
        <v>383</v>
      </c>
      <c r="M152" s="220"/>
      <c r="N152" s="164"/>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42"/>
      <c r="AO152" s="242"/>
      <c r="AP152" s="242"/>
      <c r="AQ152" s="242"/>
      <c r="AR152" s="242"/>
      <c r="AS152" s="242"/>
      <c r="AT152" s="242"/>
      <c r="AU152" s="242"/>
      <c r="AV152" s="242"/>
      <c r="AW152" s="242"/>
      <c r="AX152" s="242"/>
      <c r="AY152" s="242"/>
      <c r="AZ152" s="242"/>
      <c r="BA152" s="242"/>
      <c r="BB152" s="242"/>
      <c r="BC152" s="242"/>
      <c r="BD152" s="242"/>
      <c r="BE152" s="242"/>
      <c r="BF152" s="242"/>
      <c r="BG152" s="242"/>
    </row>
    <row r="153" spans="2:59">
      <c r="B153" s="251" t="s">
        <v>404</v>
      </c>
      <c r="C153" s="252"/>
      <c r="D153" s="253"/>
      <c r="E153" s="253"/>
      <c r="F153" s="253"/>
      <c r="G153" s="254">
        <f>SUM(G148,G150,G151:G152)</f>
        <v>716600</v>
      </c>
      <c r="H153" s="255"/>
      <c r="I153" s="255"/>
      <c r="J153" s="253"/>
      <c r="M153" s="220"/>
      <c r="N153" s="164"/>
    </row>
    <row r="154" spans="2:59">
      <c r="B154" s="237"/>
      <c r="D154" s="205"/>
      <c r="M154" s="220"/>
      <c r="N154" s="164"/>
    </row>
    <row r="155" spans="2:59">
      <c r="B155" s="188"/>
      <c r="M155" s="220"/>
      <c r="N155" s="188"/>
    </row>
    <row r="156" spans="2:59" collapsed="1">
      <c r="B156" s="167" t="s">
        <v>405</v>
      </c>
      <c r="M156" s="218"/>
      <c r="N156" s="164"/>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row>
    <row r="157" spans="2:59" ht="30" hidden="1" outlineLevel="1">
      <c r="B157" s="238" t="s">
        <v>406</v>
      </c>
      <c r="C157" s="75" t="s">
        <v>407</v>
      </c>
      <c r="D157" s="75" t="s">
        <v>408</v>
      </c>
      <c r="E157" s="75" t="s">
        <v>409</v>
      </c>
      <c r="F157" s="75" t="s">
        <v>410</v>
      </c>
      <c r="G157" s="214" t="s">
        <v>411</v>
      </c>
      <c r="H157" s="214" t="s">
        <v>412</v>
      </c>
      <c r="I157" s="53" t="s">
        <v>413</v>
      </c>
      <c r="M157" s="218"/>
      <c r="N157" s="187"/>
    </row>
    <row r="158" spans="2:59" ht="75" hidden="1" outlineLevel="1">
      <c r="B158" s="188" t="s">
        <v>414</v>
      </c>
      <c r="C158">
        <v>12</v>
      </c>
      <c r="D158">
        <v>1</v>
      </c>
      <c r="E158">
        <v>1</v>
      </c>
      <c r="F158">
        <f>E158*D158*C158</f>
        <v>12</v>
      </c>
      <c r="G158" s="54">
        <f>F158*$C$21</f>
        <v>1500</v>
      </c>
      <c r="H158" s="244">
        <f>F158/40/52</f>
        <v>5.7692307692307687E-3</v>
      </c>
      <c r="I158" s="53" t="s">
        <v>415</v>
      </c>
      <c r="M158" s="220"/>
      <c r="N158" s="188"/>
    </row>
    <row r="159" spans="2:59" ht="45" hidden="1" outlineLevel="1">
      <c r="B159" s="188" t="s">
        <v>416</v>
      </c>
      <c r="C159">
        <v>52</v>
      </c>
      <c r="D159">
        <v>0.5</v>
      </c>
      <c r="E159">
        <v>45</v>
      </c>
      <c r="F159">
        <f t="shared" ref="F159:F173" si="72">E159*D159*C159</f>
        <v>1170</v>
      </c>
      <c r="G159" s="54">
        <f>F159*$C$21</f>
        <v>146250</v>
      </c>
      <c r="H159" s="244">
        <f>F159/40/52</f>
        <v>0.5625</v>
      </c>
      <c r="I159" s="53" t="s">
        <v>417</v>
      </c>
      <c r="M159" s="220"/>
      <c r="N159" s="188"/>
    </row>
    <row r="160" spans="2:59" ht="75" hidden="1" outlineLevel="1">
      <c r="B160" s="188" t="s">
        <v>418</v>
      </c>
      <c r="C160">
        <v>52</v>
      </c>
      <c r="D160">
        <v>0.5</v>
      </c>
      <c r="E160">
        <v>45</v>
      </c>
      <c r="F160">
        <f t="shared" si="72"/>
        <v>1170</v>
      </c>
      <c r="G160" s="54">
        <f>F160*$C$21</f>
        <v>146250</v>
      </c>
      <c r="H160" s="244">
        <f>F160/40/52</f>
        <v>0.5625</v>
      </c>
      <c r="I160" s="53" t="s">
        <v>417</v>
      </c>
      <c r="M160" s="220"/>
      <c r="N160" s="188"/>
    </row>
    <row r="161" spans="2:21" ht="30" hidden="1" outlineLevel="1">
      <c r="B161" s="188"/>
      <c r="G161" s="344">
        <f>100*E160*C160</f>
        <v>234000</v>
      </c>
      <c r="H161" s="244"/>
      <c r="I161" s="53" t="s">
        <v>419</v>
      </c>
      <c r="M161" s="220"/>
      <c r="N161" s="188"/>
    </row>
    <row r="162" spans="2:21" hidden="1" outlineLevel="1">
      <c r="B162" s="188" t="s">
        <v>420</v>
      </c>
      <c r="C162">
        <v>24</v>
      </c>
      <c r="D162">
        <v>4</v>
      </c>
      <c r="E162">
        <v>1</v>
      </c>
      <c r="F162">
        <f t="shared" si="72"/>
        <v>96</v>
      </c>
      <c r="G162" s="54">
        <f t="shared" ref="G162:G173" si="73">F162*$C$21</f>
        <v>12000</v>
      </c>
      <c r="H162" s="244">
        <f t="shared" ref="H162:H173" si="74">F162/40/52</f>
        <v>4.6153846153846149E-2</v>
      </c>
      <c r="M162" s="220"/>
      <c r="N162" s="188"/>
    </row>
    <row r="163" spans="2:21" ht="75" hidden="1" outlineLevel="1">
      <c r="B163" s="188" t="s">
        <v>421</v>
      </c>
      <c r="C163">
        <v>2</v>
      </c>
      <c r="D163">
        <v>40</v>
      </c>
      <c r="E163">
        <v>1</v>
      </c>
      <c r="F163">
        <f t="shared" si="72"/>
        <v>80</v>
      </c>
      <c r="G163" s="54">
        <f t="shared" si="73"/>
        <v>10000</v>
      </c>
      <c r="H163" s="244">
        <f t="shared" si="74"/>
        <v>3.8461538461538464E-2</v>
      </c>
      <c r="M163" s="220"/>
      <c r="N163" s="188"/>
    </row>
    <row r="164" spans="2:21" hidden="1" outlineLevel="1">
      <c r="B164" s="188" t="s">
        <v>422</v>
      </c>
      <c r="C164">
        <v>1</v>
      </c>
      <c r="D164">
        <v>2</v>
      </c>
      <c r="E164">
        <v>45</v>
      </c>
      <c r="F164">
        <f t="shared" si="72"/>
        <v>90</v>
      </c>
      <c r="G164" s="54">
        <f t="shared" si="73"/>
        <v>11250</v>
      </c>
      <c r="H164" s="244">
        <f t="shared" si="74"/>
        <v>4.3269230769230768E-2</v>
      </c>
      <c r="M164" s="220"/>
      <c r="N164" s="188"/>
    </row>
    <row r="165" spans="2:21" hidden="1" outlineLevel="1">
      <c r="B165" s="188" t="s">
        <v>423</v>
      </c>
      <c r="F165">
        <f t="shared" si="72"/>
        <v>0</v>
      </c>
      <c r="G165" s="54">
        <f t="shared" si="73"/>
        <v>0</v>
      </c>
      <c r="H165" s="244"/>
      <c r="I165" s="53" t="s">
        <v>424</v>
      </c>
      <c r="M165" s="220"/>
      <c r="N165" s="188"/>
    </row>
    <row r="166" spans="2:21" hidden="1" outlineLevel="1">
      <c r="B166" s="188" t="s">
        <v>425</v>
      </c>
      <c r="C166">
        <v>12</v>
      </c>
      <c r="D166">
        <v>0.5</v>
      </c>
      <c r="E166">
        <v>45</v>
      </c>
      <c r="F166">
        <f>E166*D166*C166</f>
        <v>270</v>
      </c>
      <c r="G166" s="54">
        <f>F166*$C$21</f>
        <v>33750</v>
      </c>
      <c r="H166" s="244">
        <f>F166/40/52</f>
        <v>0.12980769230769232</v>
      </c>
      <c r="M166" s="220"/>
      <c r="N166" s="188"/>
    </row>
    <row r="167" spans="2:21" ht="30" hidden="1" outlineLevel="1">
      <c r="B167" s="188" t="s">
        <v>426</v>
      </c>
      <c r="C167">
        <v>12</v>
      </c>
      <c r="D167">
        <v>0.5</v>
      </c>
      <c r="E167">
        <v>45</v>
      </c>
      <c r="F167">
        <f>E167*D167*C167</f>
        <v>270</v>
      </c>
      <c r="G167" s="54">
        <f>F167*$C$21</f>
        <v>33750</v>
      </c>
      <c r="H167" s="244">
        <f>F167/40/52</f>
        <v>0.12980769230769232</v>
      </c>
      <c r="M167" s="220"/>
      <c r="N167" s="188"/>
    </row>
    <row r="168" spans="2:21" ht="30" hidden="1" outlineLevel="1">
      <c r="B168" s="188" t="s">
        <v>427</v>
      </c>
      <c r="C168">
        <v>12</v>
      </c>
      <c r="D168">
        <v>2</v>
      </c>
      <c r="E168">
        <v>45</v>
      </c>
      <c r="F168">
        <f>E168*D168*C168</f>
        <v>1080</v>
      </c>
      <c r="G168" s="54">
        <f>F168*$C$21</f>
        <v>135000</v>
      </c>
      <c r="H168" s="244">
        <f>F168/40/52</f>
        <v>0.51923076923076927</v>
      </c>
      <c r="M168" s="220"/>
      <c r="N168" s="188"/>
    </row>
    <row r="169" spans="2:21" ht="30" hidden="1" outlineLevel="1">
      <c r="B169" s="188" t="s">
        <v>428</v>
      </c>
      <c r="C169">
        <v>12</v>
      </c>
      <c r="D169">
        <v>3</v>
      </c>
      <c r="E169">
        <v>45</v>
      </c>
      <c r="F169">
        <f t="shared" si="72"/>
        <v>1620</v>
      </c>
      <c r="G169" s="54">
        <f t="shared" si="73"/>
        <v>202500</v>
      </c>
      <c r="H169" s="244">
        <f t="shared" si="74"/>
        <v>0.77884615384615385</v>
      </c>
      <c r="M169" s="220"/>
      <c r="N169" s="188"/>
    </row>
    <row r="170" spans="2:21" hidden="1" outlineLevel="1">
      <c r="B170" s="188" t="s">
        <v>429</v>
      </c>
      <c r="C170">
        <v>1</v>
      </c>
      <c r="D170">
        <v>8</v>
      </c>
      <c r="E170">
        <v>23</v>
      </c>
      <c r="F170">
        <v>184</v>
      </c>
      <c r="G170" s="54">
        <f t="shared" si="73"/>
        <v>23000</v>
      </c>
      <c r="H170" s="244">
        <v>8.8461538461538453E-2</v>
      </c>
      <c r="I170" s="53" t="s">
        <v>430</v>
      </c>
      <c r="M170" s="220"/>
      <c r="N170" s="188"/>
    </row>
    <row r="171" spans="2:21" hidden="1" outlineLevel="1">
      <c r="B171" s="188" t="s">
        <v>431</v>
      </c>
      <c r="C171">
        <v>12</v>
      </c>
      <c r="D171">
        <v>2</v>
      </c>
      <c r="E171">
        <v>45</v>
      </c>
      <c r="F171">
        <f>E171*D171*C171</f>
        <v>1080</v>
      </c>
      <c r="G171" s="54">
        <f t="shared" si="73"/>
        <v>135000</v>
      </c>
      <c r="H171" s="244">
        <f t="shared" ref="H171" si="75">F171/40/52</f>
        <v>0.51923076923076927</v>
      </c>
      <c r="I171" s="53" t="s">
        <v>432</v>
      </c>
      <c r="M171" s="220"/>
      <c r="N171" s="188"/>
    </row>
    <row r="172" spans="2:21" ht="60" hidden="1" outlineLevel="1">
      <c r="B172" s="188" t="s">
        <v>433</v>
      </c>
      <c r="C172">
        <v>1</v>
      </c>
      <c r="D172">
        <v>8</v>
      </c>
      <c r="E172">
        <v>5</v>
      </c>
      <c r="F172">
        <f t="shared" si="72"/>
        <v>40</v>
      </c>
      <c r="G172" s="54">
        <f t="shared" si="73"/>
        <v>5000</v>
      </c>
      <c r="H172" s="244">
        <f t="shared" si="74"/>
        <v>1.9230769230769232E-2</v>
      </c>
      <c r="M172" s="220"/>
      <c r="N172" s="188"/>
    </row>
    <row r="173" spans="2:21" ht="45" hidden="1" outlineLevel="1">
      <c r="B173" s="256" t="s">
        <v>434</v>
      </c>
      <c r="C173" s="172">
        <v>1</v>
      </c>
      <c r="D173" s="172">
        <v>1</v>
      </c>
      <c r="E173" s="172">
        <v>45</v>
      </c>
      <c r="F173" s="172">
        <f t="shared" si="72"/>
        <v>45</v>
      </c>
      <c r="G173" s="257">
        <f t="shared" si="73"/>
        <v>5625</v>
      </c>
      <c r="H173" s="258">
        <f t="shared" si="74"/>
        <v>2.1634615384615384E-2</v>
      </c>
      <c r="I173" s="176"/>
      <c r="J173" s="172"/>
      <c r="M173" s="220"/>
      <c r="N173" s="188"/>
    </row>
    <row r="174" spans="2:21" ht="30">
      <c r="B174" s="167" t="s">
        <v>146</v>
      </c>
      <c r="F174" s="56">
        <f>SUM(F158:F173)</f>
        <v>7207</v>
      </c>
      <c r="G174" s="239">
        <f>ROUNDUP(SUM(G158:G173),-3)</f>
        <v>1135000</v>
      </c>
      <c r="H174" s="240">
        <f>SUM(H158:H173)</f>
        <v>3.4649038461538462</v>
      </c>
      <c r="I174" s="53" t="s">
        <v>435</v>
      </c>
    </row>
    <row r="175" spans="2:21">
      <c r="D175" s="259"/>
    </row>
    <row r="176" spans="2:21" ht="15.75" thickBot="1">
      <c r="B176" s="183"/>
      <c r="C176" s="183"/>
      <c r="D176" s="183"/>
      <c r="E176" s="185"/>
      <c r="F176" s="183"/>
      <c r="G176" s="183"/>
      <c r="H176" s="183"/>
      <c r="I176" s="183"/>
      <c r="J176" s="185"/>
      <c r="L176" s="53"/>
      <c r="N176" s="53"/>
      <c r="O176" s="53"/>
      <c r="P176" s="53"/>
      <c r="Q176" s="53"/>
      <c r="R176" s="53"/>
      <c r="S176" s="53"/>
      <c r="T176" s="53"/>
      <c r="U176" s="53"/>
    </row>
    <row r="177" spans="1:60" ht="15.75" thickTop="1">
      <c r="B177" s="56" t="s">
        <v>147</v>
      </c>
      <c r="F177" s="245">
        <f>SUM(F174)</f>
        <v>7207</v>
      </c>
      <c r="G177" s="166">
        <f>SUM(G174,G153)</f>
        <v>1851600</v>
      </c>
      <c r="H177" s="240">
        <f>F177/40/52</f>
        <v>3.4649038461538462</v>
      </c>
    </row>
    <row r="179" spans="1:60">
      <c r="B179" s="220"/>
      <c r="G179" s="241"/>
      <c r="J179" s="53"/>
      <c r="L179" s="53"/>
      <c r="N179" s="53"/>
      <c r="O179" s="53"/>
      <c r="P179" s="53"/>
      <c r="Q179" s="53"/>
      <c r="R179" s="53"/>
      <c r="S179" s="53"/>
      <c r="T179" s="53"/>
      <c r="U179" s="53"/>
    </row>
    <row r="180" spans="1:60" s="53" customFormat="1">
      <c r="BH180" s="156"/>
    </row>
    <row r="181" spans="1:60" s="53" customFormat="1" ht="18.75">
      <c r="A181" s="439" t="s">
        <v>436</v>
      </c>
      <c r="BH181" s="156"/>
    </row>
    <row r="182" spans="1:60" s="53" customFormat="1">
      <c r="B182" s="179"/>
      <c r="C182" s="179"/>
      <c r="D182" s="179"/>
      <c r="E182" s="179"/>
      <c r="F182" s="179"/>
      <c r="G182" s="179"/>
      <c r="H182" s="179"/>
      <c r="I182" s="179"/>
      <c r="J182" s="176"/>
      <c r="K182" s="176"/>
      <c r="BH182" s="156"/>
    </row>
    <row r="183" spans="1:60" s="53" customFormat="1" ht="124.35" customHeight="1" outlineLevel="1">
      <c r="B183" s="179" t="s">
        <v>437</v>
      </c>
      <c r="C183" s="179" t="s">
        <v>438</v>
      </c>
      <c r="D183" s="179" t="s">
        <v>439</v>
      </c>
      <c r="E183" s="179" t="s">
        <v>440</v>
      </c>
      <c r="F183" s="179" t="s">
        <v>441</v>
      </c>
      <c r="G183" s="179" t="s">
        <v>442</v>
      </c>
      <c r="H183" s="179" t="s">
        <v>443</v>
      </c>
      <c r="I183" s="179" t="s">
        <v>444</v>
      </c>
      <c r="J183" s="179" t="s">
        <v>445</v>
      </c>
      <c r="K183" s="179" t="s">
        <v>446</v>
      </c>
      <c r="BH183" s="156"/>
    </row>
    <row r="184" spans="1:60" s="53" customFormat="1" outlineLevel="1">
      <c r="B184" s="53" t="s">
        <v>447</v>
      </c>
      <c r="C184" s="191">
        <f>SUMIF($K$32:$K$104,B184,$BH$32:$BH$104)</f>
        <v>1948000</v>
      </c>
      <c r="D184" s="358">
        <f t="shared" ref="D184:D194" si="76">C184*1.35*1.25</f>
        <v>3287250</v>
      </c>
      <c r="F184" s="53">
        <v>10</v>
      </c>
      <c r="I184" s="358">
        <f>D184</f>
        <v>3287250</v>
      </c>
      <c r="K184" s="191">
        <f>D184</f>
        <v>3287250</v>
      </c>
      <c r="BH184" s="156"/>
    </row>
    <row r="185" spans="1:60" s="53" customFormat="1" ht="30" outlineLevel="1">
      <c r="B185" s="53" t="s">
        <v>448</v>
      </c>
      <c r="C185" s="191">
        <f>SUMIF($K$32:$K$104,B185,$BH$32:$BH$104)</f>
        <v>2793300</v>
      </c>
      <c r="D185" s="358">
        <f t="shared" si="76"/>
        <v>4713693.7500000009</v>
      </c>
      <c r="F185" s="53">
        <v>10</v>
      </c>
      <c r="I185" s="358">
        <f>D185</f>
        <v>4713693.7500000009</v>
      </c>
      <c r="K185" s="191">
        <f>D185</f>
        <v>4713693.7500000009</v>
      </c>
      <c r="BH185" s="156"/>
    </row>
    <row r="186" spans="1:60" s="53" customFormat="1" outlineLevel="1">
      <c r="B186" s="53" t="s">
        <v>449</v>
      </c>
      <c r="C186" s="191">
        <f>SUMIF($K$32:$K$104,B186,$BH$32:$BH$104)</f>
        <v>180000</v>
      </c>
      <c r="D186" s="358">
        <f t="shared" si="76"/>
        <v>303750.00000000006</v>
      </c>
      <c r="F186" s="53">
        <v>10</v>
      </c>
      <c r="I186" s="358">
        <f>D186</f>
        <v>303750.00000000006</v>
      </c>
      <c r="K186" s="191">
        <f>D186</f>
        <v>303750.00000000006</v>
      </c>
      <c r="BH186" s="156"/>
    </row>
    <row r="187" spans="1:60" s="53" customFormat="1" outlineLevel="1">
      <c r="B187" s="53" t="s">
        <v>450</v>
      </c>
      <c r="C187" s="191">
        <f t="shared" ref="C187:C191" si="77">SUMIF($K$32:$K$104,B187,$BH$32:$BH$104)</f>
        <v>45000</v>
      </c>
      <c r="D187" s="358">
        <f t="shared" si="76"/>
        <v>75937.500000000015</v>
      </c>
      <c r="F187" s="53">
        <v>5</v>
      </c>
      <c r="H187" s="191">
        <f>$D$187</f>
        <v>75937.500000000015</v>
      </c>
      <c r="I187" s="191">
        <f>$D$187</f>
        <v>75937.500000000015</v>
      </c>
      <c r="J187" s="191">
        <f>$D$187</f>
        <v>75937.500000000015</v>
      </c>
      <c r="K187" s="191">
        <f>$D$187</f>
        <v>75937.500000000015</v>
      </c>
      <c r="BH187" s="156"/>
    </row>
    <row r="188" spans="1:60" s="53" customFormat="1" ht="30" outlineLevel="1">
      <c r="B188" s="53" t="s">
        <v>451</v>
      </c>
      <c r="C188" s="191">
        <f t="shared" si="77"/>
        <v>675000</v>
      </c>
      <c r="D188" s="358">
        <f t="shared" si="76"/>
        <v>1139062.5000000002</v>
      </c>
      <c r="E188" s="53">
        <v>15</v>
      </c>
      <c r="F188" s="53">
        <v>25</v>
      </c>
      <c r="G188" s="191">
        <f>30%*D188</f>
        <v>341718.75000000006</v>
      </c>
      <c r="J188" s="191">
        <f>G188</f>
        <v>341718.75000000006</v>
      </c>
      <c r="BH188" s="156"/>
    </row>
    <row r="189" spans="1:60" s="53" customFormat="1" ht="30" outlineLevel="1">
      <c r="B189" s="53" t="s">
        <v>452</v>
      </c>
      <c r="C189" s="191">
        <f>SUMIF($K$32:$K$104,B189,$BH$32:$BH$104)</f>
        <v>2272000</v>
      </c>
      <c r="D189" s="358">
        <f t="shared" si="76"/>
        <v>3834000</v>
      </c>
      <c r="F189" s="53">
        <v>10</v>
      </c>
      <c r="I189" s="358">
        <f>D189</f>
        <v>3834000</v>
      </c>
      <c r="K189" s="191">
        <f>D189</f>
        <v>3834000</v>
      </c>
      <c r="BH189" s="156"/>
    </row>
    <row r="190" spans="1:60" s="53" customFormat="1" outlineLevel="1">
      <c r="B190" s="53" t="s">
        <v>453</v>
      </c>
      <c r="C190" s="191">
        <f t="shared" si="77"/>
        <v>1454000</v>
      </c>
      <c r="D190" s="358">
        <f t="shared" si="76"/>
        <v>2453625.0000000005</v>
      </c>
      <c r="F190" s="53">
        <v>30</v>
      </c>
      <c r="BH190" s="156"/>
    </row>
    <row r="191" spans="1:60" s="53" customFormat="1" outlineLevel="1">
      <c r="B191" s="53" t="s">
        <v>454</v>
      </c>
      <c r="C191" s="191">
        <f t="shared" si="77"/>
        <v>3441000</v>
      </c>
      <c r="D191" s="358">
        <f t="shared" si="76"/>
        <v>5806687.5</v>
      </c>
      <c r="F191" s="53">
        <v>40</v>
      </c>
      <c r="BH191" s="156"/>
    </row>
    <row r="192" spans="1:60" s="53" customFormat="1" outlineLevel="1">
      <c r="B192" s="53" t="s">
        <v>455</v>
      </c>
      <c r="C192" s="191">
        <f>SUMIF($K$32:$K$104,B192,$BH$32:$BH$104)</f>
        <v>1432000</v>
      </c>
      <c r="D192" s="358">
        <f t="shared" si="76"/>
        <v>2416500.0000000005</v>
      </c>
      <c r="E192" s="53">
        <v>10</v>
      </c>
      <c r="F192" s="53">
        <v>40</v>
      </c>
      <c r="G192" s="191">
        <f>20%*D192</f>
        <v>483300.00000000012</v>
      </c>
      <c r="I192" s="191">
        <f>G192</f>
        <v>483300.00000000012</v>
      </c>
      <c r="K192" s="191">
        <f>G192</f>
        <v>483300.00000000012</v>
      </c>
      <c r="BH192" s="156"/>
    </row>
    <row r="193" spans="2:60" s="53" customFormat="1" outlineLevel="1">
      <c r="B193" s="53" t="s">
        <v>456</v>
      </c>
      <c r="C193" s="191">
        <f>SUMIF($K$32:$K$104,B193,$BH$32:$BH$104)</f>
        <v>675000</v>
      </c>
      <c r="D193" s="358">
        <f t="shared" si="76"/>
        <v>1139062.5000000002</v>
      </c>
      <c r="F193" s="53">
        <v>8</v>
      </c>
      <c r="I193" s="358">
        <f>D193</f>
        <v>1139062.5000000002</v>
      </c>
      <c r="K193" s="358">
        <f>D193</f>
        <v>1139062.5000000002</v>
      </c>
      <c r="BH193" s="156"/>
    </row>
    <row r="194" spans="2:60" s="53" customFormat="1" outlineLevel="1">
      <c r="B194" s="176" t="s">
        <v>457</v>
      </c>
      <c r="C194" s="362">
        <f>G127</f>
        <v>45000</v>
      </c>
      <c r="D194" s="440">
        <f t="shared" si="76"/>
        <v>75937.500000000015</v>
      </c>
      <c r="E194" s="176"/>
      <c r="F194" s="176">
        <v>20</v>
      </c>
      <c r="G194" s="176"/>
      <c r="H194" s="176"/>
      <c r="I194" s="176"/>
      <c r="J194" s="176"/>
      <c r="K194" s="440">
        <f>D194</f>
        <v>75937.500000000015</v>
      </c>
      <c r="BH194" s="156"/>
    </row>
    <row r="195" spans="2:60" s="53" customFormat="1" outlineLevel="1">
      <c r="C195" s="193">
        <f>SUM(C184:C194)</f>
        <v>14960300</v>
      </c>
      <c r="D195" s="193">
        <f>SUM(D184:D194)</f>
        <v>25245506.25</v>
      </c>
      <c r="H195" s="193">
        <f>SUM(H184:H194)</f>
        <v>75937.500000000015</v>
      </c>
      <c r="I195" s="193">
        <f t="shared" ref="I195:K195" si="78">SUM(I184:I194)</f>
        <v>13836993.75</v>
      </c>
      <c r="J195" s="193">
        <f t="shared" si="78"/>
        <v>417656.25000000006</v>
      </c>
      <c r="K195" s="193">
        <f t="shared" si="78"/>
        <v>13912931.25</v>
      </c>
      <c r="BH195" s="156"/>
    </row>
    <row r="196" spans="2:60" s="53" customFormat="1" outlineLevel="1">
      <c r="C196" s="193"/>
      <c r="D196" s="193"/>
      <c r="BH196" s="156"/>
    </row>
    <row r="197" spans="2:60" s="53" customFormat="1" ht="45" outlineLevel="1">
      <c r="B197" s="179" t="s">
        <v>458</v>
      </c>
      <c r="C197" s="179" t="s">
        <v>459</v>
      </c>
      <c r="D197" s="179" t="s">
        <v>460</v>
      </c>
      <c r="E197" s="179" t="s">
        <v>461</v>
      </c>
      <c r="F197" s="179" t="s">
        <v>462</v>
      </c>
      <c r="BH197" s="156"/>
    </row>
    <row r="198" spans="2:60" s="53" customFormat="1" outlineLevel="1">
      <c r="B198" s="53" t="str">
        <f>B184</f>
        <v xml:space="preserve">Liquid chemical system </v>
      </c>
      <c r="C198" s="191">
        <f>C184/F184</f>
        <v>194800</v>
      </c>
      <c r="E198" s="191">
        <f t="shared" ref="E198:E208" si="79">D198*G184/F184</f>
        <v>0</v>
      </c>
      <c r="F198" s="191">
        <f>SUM(E198,C198)</f>
        <v>194800</v>
      </c>
      <c r="BH198" s="156"/>
    </row>
    <row r="199" spans="2:60" s="53" customFormat="1" ht="30" outlineLevel="1">
      <c r="B199" s="53" t="str">
        <f t="shared" ref="B199:B208" si="80">B185</f>
        <v xml:space="preserve">Appurtenances of the system (e.g. piping, tanks) </v>
      </c>
      <c r="C199" s="191">
        <f t="shared" ref="C199:C208" si="81">C185/F185</f>
        <v>279330</v>
      </c>
      <c r="E199" s="191">
        <f t="shared" si="79"/>
        <v>0</v>
      </c>
      <c r="F199" s="191">
        <f t="shared" ref="F199:F208" si="82">SUM(E199,C199)</f>
        <v>279330</v>
      </c>
      <c r="BH199" s="156"/>
    </row>
    <row r="200" spans="2:60" s="53" customFormat="1" outlineLevel="1">
      <c r="B200" s="53" t="str">
        <f t="shared" si="80"/>
        <v xml:space="preserve">Health and safety equipment </v>
      </c>
      <c r="C200" s="191">
        <f t="shared" si="81"/>
        <v>18000</v>
      </c>
      <c r="E200" s="191">
        <f t="shared" si="79"/>
        <v>0</v>
      </c>
      <c r="F200" s="191">
        <f t="shared" si="82"/>
        <v>18000</v>
      </c>
      <c r="BH200" s="156"/>
    </row>
    <row r="201" spans="2:60" s="53" customFormat="1" outlineLevel="1">
      <c r="B201" s="53" t="str">
        <f t="shared" si="80"/>
        <v xml:space="preserve">Scrubber media for a passive scrubber </v>
      </c>
      <c r="C201" s="191">
        <f t="shared" si="81"/>
        <v>9000</v>
      </c>
      <c r="E201" s="191">
        <f t="shared" si="79"/>
        <v>0</v>
      </c>
      <c r="F201" s="191">
        <f t="shared" si="82"/>
        <v>9000</v>
      </c>
      <c r="BH201" s="156"/>
    </row>
    <row r="202" spans="2:60" s="53" customFormat="1" ht="30" outlineLevel="1">
      <c r="B202" s="53" t="str">
        <f t="shared" si="80"/>
        <v>Air handling units  and misc. building mechanical</v>
      </c>
      <c r="C202" s="191">
        <f t="shared" si="81"/>
        <v>27000</v>
      </c>
      <c r="D202" s="53">
        <v>1</v>
      </c>
      <c r="E202" s="191">
        <f t="shared" si="79"/>
        <v>13668.750000000002</v>
      </c>
      <c r="F202" s="191">
        <f t="shared" si="82"/>
        <v>40668.75</v>
      </c>
      <c r="BH202" s="156"/>
    </row>
    <row r="203" spans="2:60" s="53" customFormat="1" ht="30" outlineLevel="1">
      <c r="B203" s="53" t="str">
        <f t="shared" si="80"/>
        <v>Analyzers, indicators, analytical instruments and misc. instrumentation</v>
      </c>
      <c r="C203" s="191">
        <f t="shared" si="81"/>
        <v>227200</v>
      </c>
      <c r="E203" s="191">
        <f t="shared" si="79"/>
        <v>0</v>
      </c>
      <c r="F203" s="191">
        <f t="shared" si="82"/>
        <v>227200</v>
      </c>
      <c r="BH203" s="156"/>
    </row>
    <row r="204" spans="2:60" s="53" customFormat="1" outlineLevel="1">
      <c r="B204" s="53" t="str">
        <f t="shared" si="80"/>
        <v xml:space="preserve">Misc. electrical </v>
      </c>
      <c r="C204" s="191">
        <f t="shared" si="81"/>
        <v>48466.666666666664</v>
      </c>
      <c r="E204" s="191">
        <f t="shared" si="79"/>
        <v>0</v>
      </c>
      <c r="F204" s="191">
        <f t="shared" si="82"/>
        <v>48466.666666666664</v>
      </c>
      <c r="BH204" s="156"/>
    </row>
    <row r="205" spans="2:60" s="53" customFormat="1" outlineLevel="1">
      <c r="B205" s="53" t="str">
        <f t="shared" si="80"/>
        <v xml:space="preserve">Misc. site works </v>
      </c>
      <c r="C205" s="191">
        <f t="shared" si="81"/>
        <v>86025</v>
      </c>
      <c r="E205" s="191">
        <f t="shared" si="79"/>
        <v>0</v>
      </c>
      <c r="F205" s="191">
        <f t="shared" si="82"/>
        <v>86025</v>
      </c>
      <c r="BH205" s="156"/>
    </row>
    <row r="206" spans="2:60" s="53" customFormat="1" outlineLevel="1">
      <c r="B206" s="53" t="str">
        <f t="shared" si="80"/>
        <v xml:space="preserve">Misc. light structural </v>
      </c>
      <c r="C206" s="191">
        <f t="shared" si="81"/>
        <v>35800</v>
      </c>
      <c r="D206" s="53">
        <v>3</v>
      </c>
      <c r="E206" s="191">
        <f t="shared" si="79"/>
        <v>36247.500000000015</v>
      </c>
      <c r="F206" s="191">
        <f t="shared" si="82"/>
        <v>72047.500000000015</v>
      </c>
      <c r="BH206" s="156"/>
    </row>
    <row r="207" spans="2:60" s="53" customFormat="1" outlineLevel="1">
      <c r="B207" s="53" t="str">
        <f t="shared" si="80"/>
        <v xml:space="preserve">Security </v>
      </c>
      <c r="C207" s="191">
        <f t="shared" si="81"/>
        <v>84375</v>
      </c>
      <c r="E207" s="191">
        <f t="shared" si="79"/>
        <v>0</v>
      </c>
      <c r="F207" s="191">
        <f t="shared" si="82"/>
        <v>84375</v>
      </c>
      <c r="BH207" s="156"/>
    </row>
    <row r="208" spans="2:60" s="53" customFormat="1" outlineLevel="1">
      <c r="B208" s="176" t="str">
        <f t="shared" si="80"/>
        <v xml:space="preserve">Signage </v>
      </c>
      <c r="C208" s="362">
        <f t="shared" si="81"/>
        <v>2250</v>
      </c>
      <c r="D208" s="176"/>
      <c r="E208" s="362">
        <f t="shared" si="79"/>
        <v>0</v>
      </c>
      <c r="F208" s="362">
        <f t="shared" si="82"/>
        <v>2250</v>
      </c>
      <c r="BH208" s="156"/>
    </row>
    <row r="209" spans="3:60" s="53" customFormat="1" outlineLevel="1">
      <c r="C209" s="191"/>
      <c r="F209" s="193">
        <f>SUM(F198:F208)</f>
        <v>1062162.9166666665</v>
      </c>
      <c r="BH209" s="156"/>
    </row>
    <row r="210" spans="3:60" s="53" customFormat="1">
      <c r="BH210" s="156"/>
    </row>
    <row r="211" spans="3:60" s="53" customFormat="1">
      <c r="BH211" s="156"/>
    </row>
    <row r="212" spans="3:60" s="53" customFormat="1">
      <c r="BH212" s="156"/>
    </row>
    <row r="213" spans="3:60" s="53" customFormat="1">
      <c r="BH213" s="156"/>
    </row>
    <row r="214" spans="3:60" s="53" customFormat="1">
      <c r="BH214" s="156"/>
    </row>
  </sheetData>
  <sheetProtection algorithmName="SHA-512" hashValue="NCGPXM1MgEfgAaOmpvj3r4tLmLB+f9SYZWotGumti1L3eYj9dycmX4CqibfDXz5jkk3PuTzNRUlv1PhKhcK/tw==" saltValue="eJWDxW68Zfzbt25Tz/bcyQ==" spinCount="100000" sheet="1" objects="1" scenarios="1"/>
  <mergeCells count="1">
    <mergeCell ref="D4:F4"/>
  </mergeCells>
  <conditionalFormatting sqref="O6:BG6">
    <cfRule type="colorScale" priority="1">
      <colorScale>
        <cfvo type="min"/>
        <cfvo type="max"/>
        <color rgb="FFFCFCFF"/>
        <color theme="4"/>
      </colorScale>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38EB-2255-4079-87E7-412A768AE17B}">
  <sheetPr>
    <outlinePr summaryBelow="0" summaryRight="0"/>
  </sheetPr>
  <dimension ref="A1:BH37"/>
  <sheetViews>
    <sheetView zoomScale="85" zoomScaleNormal="85" workbookViewId="0">
      <pane xSplit="2" ySplit="4" topLeftCell="C5" activePane="bottomRight" state="frozen"/>
      <selection pane="topRight" activeCell="C1" sqref="C1"/>
      <selection pane="bottomLeft" activeCell="A5" sqref="A5"/>
      <selection pane="bottomRight" activeCell="P10" sqref="P10"/>
    </sheetView>
  </sheetViews>
  <sheetFormatPr defaultRowHeight="15" outlineLevelRow="1" outlineLevelCol="1"/>
  <cols>
    <col min="1" max="1" width="29.42578125" customWidth="1"/>
    <col min="2" max="2" width="11.42578125" customWidth="1" outlineLevel="1"/>
    <col min="3" max="3" width="56.140625" customWidth="1" outlineLevel="1"/>
    <col min="4" max="60" width="3.85546875" customWidth="1"/>
    <col min="61" max="61" width="14.85546875" customWidth="1"/>
  </cols>
  <sheetData>
    <row r="1" spans="1:60" ht="21">
      <c r="A1" s="441" t="s">
        <v>463</v>
      </c>
    </row>
    <row r="2" spans="1:60">
      <c r="B2" s="172"/>
      <c r="C2" s="176"/>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row>
    <row r="3" spans="1:60" ht="63" customHeight="1">
      <c r="A3" s="217" t="s">
        <v>464</v>
      </c>
      <c r="B3" s="217" t="s">
        <v>465</v>
      </c>
      <c r="C3" s="217" t="s">
        <v>159</v>
      </c>
      <c r="D3" s="294" t="s">
        <v>466</v>
      </c>
      <c r="E3" s="294" t="s">
        <v>467</v>
      </c>
      <c r="F3" s="294" t="s">
        <v>468</v>
      </c>
      <c r="G3" s="294" t="s">
        <v>469</v>
      </c>
      <c r="H3" s="294" t="s">
        <v>470</v>
      </c>
      <c r="I3" s="294" t="s">
        <v>471</v>
      </c>
      <c r="J3" s="294" t="s">
        <v>472</v>
      </c>
      <c r="K3" s="294" t="s">
        <v>473</v>
      </c>
      <c r="L3" s="294" t="s">
        <v>474</v>
      </c>
      <c r="M3" s="294" t="s">
        <v>475</v>
      </c>
      <c r="N3" s="294" t="s">
        <v>476</v>
      </c>
      <c r="O3" s="294" t="s">
        <v>477</v>
      </c>
      <c r="P3" s="294" t="s">
        <v>466</v>
      </c>
      <c r="Q3" s="294" t="s">
        <v>467</v>
      </c>
      <c r="R3" s="294" t="s">
        <v>468</v>
      </c>
      <c r="S3" s="294" t="s">
        <v>469</v>
      </c>
      <c r="T3" s="294" t="s">
        <v>470</v>
      </c>
      <c r="U3" s="294" t="s">
        <v>471</v>
      </c>
      <c r="V3" s="294" t="s">
        <v>472</v>
      </c>
      <c r="W3" s="294" t="s">
        <v>473</v>
      </c>
      <c r="X3" s="294" t="s">
        <v>474</v>
      </c>
      <c r="Y3" s="294" t="s">
        <v>475</v>
      </c>
      <c r="Z3" s="294" t="s">
        <v>476</v>
      </c>
      <c r="AA3" s="294" t="s">
        <v>477</v>
      </c>
      <c r="AB3" s="294" t="s">
        <v>466</v>
      </c>
      <c r="AC3" s="294" t="s">
        <v>467</v>
      </c>
      <c r="AD3" s="294" t="s">
        <v>468</v>
      </c>
      <c r="AE3" s="294" t="s">
        <v>469</v>
      </c>
      <c r="AF3" s="294" t="s">
        <v>470</v>
      </c>
      <c r="AG3" s="294" t="s">
        <v>471</v>
      </c>
      <c r="AH3" s="294" t="s">
        <v>472</v>
      </c>
      <c r="AI3" s="294" t="s">
        <v>473</v>
      </c>
      <c r="AJ3" s="294" t="s">
        <v>474</v>
      </c>
      <c r="AK3" s="294" t="s">
        <v>475</v>
      </c>
      <c r="AL3" s="294" t="s">
        <v>476</v>
      </c>
      <c r="AM3" s="294" t="s">
        <v>477</v>
      </c>
      <c r="AN3" s="294" t="s">
        <v>466</v>
      </c>
      <c r="AO3" s="294" t="s">
        <v>467</v>
      </c>
      <c r="AP3" s="294" t="s">
        <v>468</v>
      </c>
      <c r="AQ3" s="294" t="s">
        <v>469</v>
      </c>
      <c r="AR3" s="294" t="s">
        <v>470</v>
      </c>
      <c r="AS3" s="294" t="s">
        <v>471</v>
      </c>
      <c r="AT3" s="294" t="s">
        <v>472</v>
      </c>
      <c r="AU3" s="294" t="s">
        <v>473</v>
      </c>
      <c r="AV3" s="294" t="s">
        <v>474</v>
      </c>
      <c r="AW3" s="294" t="s">
        <v>475</v>
      </c>
      <c r="AX3" s="294" t="s">
        <v>476</v>
      </c>
      <c r="AY3" s="294" t="s">
        <v>477</v>
      </c>
      <c r="AZ3" s="294" t="s">
        <v>466</v>
      </c>
      <c r="BA3" s="294" t="s">
        <v>467</v>
      </c>
      <c r="BB3" s="294" t="s">
        <v>468</v>
      </c>
      <c r="BC3" s="294" t="s">
        <v>469</v>
      </c>
      <c r="BD3" s="294" t="s">
        <v>470</v>
      </c>
      <c r="BE3" s="294" t="s">
        <v>471</v>
      </c>
      <c r="BF3" s="294" t="s">
        <v>472</v>
      </c>
      <c r="BG3" s="294" t="s">
        <v>473</v>
      </c>
      <c r="BH3" s="294" t="s">
        <v>474</v>
      </c>
    </row>
    <row r="4" spans="1:60">
      <c r="A4" s="217"/>
      <c r="B4" s="217"/>
      <c r="C4" s="217"/>
      <c r="D4" s="462" t="s">
        <v>478</v>
      </c>
      <c r="E4" s="463"/>
      <c r="F4" s="463"/>
      <c r="G4" s="463"/>
      <c r="H4" s="463"/>
      <c r="I4" s="463"/>
      <c r="J4" s="463"/>
      <c r="K4" s="463"/>
      <c r="L4" s="464"/>
      <c r="M4" s="462" t="s">
        <v>479</v>
      </c>
      <c r="N4" s="463"/>
      <c r="O4" s="463"/>
      <c r="P4" s="463"/>
      <c r="Q4" s="463"/>
      <c r="R4" s="463"/>
      <c r="S4" s="463"/>
      <c r="T4" s="463"/>
      <c r="U4" s="463"/>
      <c r="V4" s="463"/>
      <c r="W4" s="463"/>
      <c r="X4" s="464"/>
      <c r="Y4" s="462" t="s">
        <v>480</v>
      </c>
      <c r="Z4" s="463"/>
      <c r="AA4" s="463"/>
      <c r="AB4" s="463"/>
      <c r="AC4" s="463"/>
      <c r="AD4" s="463"/>
      <c r="AE4" s="463"/>
      <c r="AF4" s="463"/>
      <c r="AG4" s="463"/>
      <c r="AH4" s="463"/>
      <c r="AI4" s="463"/>
      <c r="AJ4" s="464"/>
      <c r="AK4" s="462" t="s">
        <v>481</v>
      </c>
      <c r="AL4" s="463"/>
      <c r="AM4" s="463"/>
      <c r="AN4" s="463"/>
      <c r="AO4" s="463"/>
      <c r="AP4" s="463"/>
      <c r="AQ4" s="463"/>
      <c r="AR4" s="463"/>
      <c r="AS4" s="463"/>
      <c r="AT4" s="463"/>
      <c r="AU4" s="463"/>
      <c r="AV4" s="464"/>
      <c r="AW4" s="462" t="s">
        <v>482</v>
      </c>
      <c r="AX4" s="463"/>
      <c r="AY4" s="463"/>
      <c r="AZ4" s="463"/>
      <c r="BA4" s="463"/>
      <c r="BB4" s="463"/>
      <c r="BC4" s="463"/>
      <c r="BD4" s="463"/>
      <c r="BE4" s="463"/>
      <c r="BF4" s="463"/>
      <c r="BG4" s="463"/>
      <c r="BH4" s="464"/>
    </row>
    <row r="5" spans="1:60">
      <c r="A5" s="295" t="s">
        <v>483</v>
      </c>
      <c r="B5" s="295"/>
      <c r="C5" s="69"/>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60"/>
      <c r="AX5" s="60"/>
      <c r="AY5" s="60"/>
      <c r="AZ5" s="60"/>
      <c r="BA5" s="60"/>
      <c r="BB5" s="60"/>
      <c r="BC5" s="60"/>
      <c r="BD5" s="60"/>
      <c r="BE5" s="60"/>
      <c r="BF5" s="60"/>
      <c r="BG5" s="60"/>
      <c r="BH5" s="60"/>
    </row>
    <row r="6" spans="1:60" ht="45">
      <c r="A6" s="296" t="s">
        <v>484</v>
      </c>
      <c r="B6" s="69" t="s">
        <v>485</v>
      </c>
      <c r="C6" s="69" t="s">
        <v>486</v>
      </c>
      <c r="D6" s="297"/>
      <c r="E6" s="297"/>
      <c r="F6" s="297"/>
      <c r="G6" s="297"/>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0"/>
      <c r="AX6" s="60"/>
      <c r="AY6" s="60"/>
      <c r="AZ6" s="60"/>
      <c r="BA6" s="60"/>
      <c r="BB6" s="60"/>
      <c r="BC6" s="60"/>
      <c r="BD6" s="60"/>
      <c r="BE6" s="60"/>
      <c r="BF6" s="60"/>
      <c r="BG6" s="60"/>
      <c r="BH6" s="60"/>
    </row>
    <row r="7" spans="1:60">
      <c r="A7" s="295"/>
      <c r="B7" s="295"/>
      <c r="C7" s="68"/>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60"/>
      <c r="AX7" s="60"/>
      <c r="AY7" s="60"/>
      <c r="AZ7" s="60"/>
      <c r="BA7" s="60"/>
      <c r="BB7" s="60"/>
      <c r="BC7" s="60"/>
      <c r="BD7" s="60"/>
      <c r="BE7" s="60"/>
      <c r="BF7" s="60"/>
      <c r="BG7" s="60"/>
      <c r="BH7" s="60"/>
    </row>
    <row r="8" spans="1:60">
      <c r="A8" s="298" t="s">
        <v>487</v>
      </c>
      <c r="B8" s="69"/>
      <c r="C8" s="70" t="s">
        <v>488</v>
      </c>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0"/>
      <c r="AX8" s="60"/>
      <c r="AY8" s="60"/>
      <c r="AZ8" s="60"/>
      <c r="BA8" s="60"/>
      <c r="BB8" s="60"/>
      <c r="BC8" s="60"/>
      <c r="BD8" s="60"/>
      <c r="BE8" s="60"/>
      <c r="BF8" s="60"/>
      <c r="BG8" s="60"/>
      <c r="BH8" s="60"/>
    </row>
    <row r="9" spans="1:60" ht="15" customHeight="1" outlineLevel="1">
      <c r="A9" s="299" t="s">
        <v>489</v>
      </c>
      <c r="B9" s="69" t="s">
        <v>490</v>
      </c>
      <c r="C9" s="70" t="s">
        <v>491</v>
      </c>
      <c r="D9" s="69"/>
      <c r="E9" s="69"/>
      <c r="F9" s="69"/>
      <c r="G9" s="69"/>
      <c r="H9" s="69"/>
      <c r="I9" s="69"/>
      <c r="J9" s="300"/>
      <c r="K9" s="300"/>
      <c r="L9" s="300"/>
      <c r="M9" s="300"/>
      <c r="N9" s="300"/>
      <c r="O9" s="300"/>
      <c r="P9" s="300"/>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0"/>
      <c r="AX9" s="60"/>
      <c r="AY9" s="60"/>
      <c r="AZ9" s="60"/>
      <c r="BA9" s="60"/>
      <c r="BB9" s="60"/>
      <c r="BC9" s="60"/>
      <c r="BD9" s="60"/>
      <c r="BE9" s="60"/>
      <c r="BF9" s="60"/>
      <c r="BG9" s="60"/>
      <c r="BH9" s="60"/>
    </row>
    <row r="10" spans="1:60" ht="30" outlineLevel="1">
      <c r="A10" s="299" t="s">
        <v>492</v>
      </c>
      <c r="B10" s="69" t="s">
        <v>485</v>
      </c>
      <c r="C10" s="70" t="s">
        <v>493</v>
      </c>
      <c r="D10" s="69"/>
      <c r="E10" s="69"/>
      <c r="F10" s="69"/>
      <c r="G10" s="69"/>
      <c r="H10" s="69"/>
      <c r="I10" s="69"/>
      <c r="J10" s="69"/>
      <c r="K10" s="69"/>
      <c r="L10" s="69"/>
      <c r="M10" s="69"/>
      <c r="N10" s="69"/>
      <c r="O10" s="69"/>
      <c r="P10" s="69"/>
      <c r="Q10" s="300"/>
      <c r="R10" s="300"/>
      <c r="S10" s="300"/>
      <c r="T10" s="300"/>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0"/>
      <c r="AX10" s="60"/>
      <c r="AY10" s="60"/>
      <c r="AZ10" s="60"/>
      <c r="BA10" s="60"/>
      <c r="BB10" s="60"/>
      <c r="BC10" s="60"/>
      <c r="BD10" s="60"/>
      <c r="BE10" s="60"/>
      <c r="BF10" s="60"/>
      <c r="BG10" s="60"/>
      <c r="BH10" s="60"/>
    </row>
    <row r="11" spans="1:60" ht="30" outlineLevel="1">
      <c r="A11" s="299" t="s">
        <v>494</v>
      </c>
      <c r="B11" s="69" t="s">
        <v>495</v>
      </c>
      <c r="C11" s="70" t="s">
        <v>496</v>
      </c>
      <c r="D11" s="301"/>
      <c r="E11" s="301"/>
      <c r="F11" s="301"/>
      <c r="G11" s="301"/>
      <c r="H11" s="301"/>
      <c r="I11" s="301"/>
      <c r="J11" s="301"/>
      <c r="K11" s="301"/>
      <c r="L11" s="301"/>
      <c r="M11" s="301"/>
      <c r="N11" s="301"/>
      <c r="O11" s="301"/>
      <c r="P11" s="301"/>
      <c r="Q11" s="301"/>
      <c r="R11" s="301"/>
      <c r="S11" s="301"/>
      <c r="T11" s="301"/>
      <c r="U11" s="302"/>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60"/>
      <c r="AX11" s="60"/>
      <c r="AY11" s="60"/>
      <c r="AZ11" s="60"/>
      <c r="BA11" s="60"/>
      <c r="BB11" s="60"/>
      <c r="BC11" s="60"/>
      <c r="BD11" s="60"/>
      <c r="BE11" s="60"/>
      <c r="BF11" s="60"/>
      <c r="BG11" s="60"/>
      <c r="BH11" s="60"/>
    </row>
    <row r="12" spans="1:60" outlineLevel="1">
      <c r="A12" s="299" t="s">
        <v>497</v>
      </c>
      <c r="B12" s="69" t="s">
        <v>498</v>
      </c>
      <c r="C12" s="70" t="s">
        <v>499</v>
      </c>
      <c r="D12" s="301"/>
      <c r="E12" s="301"/>
      <c r="F12" s="301"/>
      <c r="G12" s="301"/>
      <c r="H12" s="301"/>
      <c r="I12" s="301"/>
      <c r="J12" s="301"/>
      <c r="K12" s="301"/>
      <c r="L12" s="301"/>
      <c r="M12" s="301"/>
      <c r="N12" s="301"/>
      <c r="O12" s="301"/>
      <c r="P12" s="301"/>
      <c r="Q12" s="301"/>
      <c r="R12" s="301"/>
      <c r="S12" s="301"/>
      <c r="T12" s="301"/>
      <c r="U12" s="301"/>
      <c r="V12" s="302"/>
      <c r="W12" s="302"/>
      <c r="X12" s="302"/>
      <c r="Y12" s="302"/>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60"/>
      <c r="AX12" s="60"/>
      <c r="AY12" s="60"/>
      <c r="AZ12" s="60"/>
      <c r="BA12" s="60"/>
      <c r="BB12" s="60"/>
      <c r="BC12" s="60"/>
      <c r="BD12" s="60"/>
      <c r="BE12" s="60"/>
      <c r="BF12" s="60"/>
      <c r="BG12" s="60"/>
      <c r="BH12" s="60"/>
    </row>
    <row r="13" spans="1:60" ht="60" outlineLevel="1">
      <c r="A13" s="299" t="s">
        <v>500</v>
      </c>
      <c r="B13" s="69" t="s">
        <v>501</v>
      </c>
      <c r="C13" s="70" t="s">
        <v>502</v>
      </c>
      <c r="D13" s="301"/>
      <c r="E13" s="301"/>
      <c r="F13" s="301"/>
      <c r="G13" s="301"/>
      <c r="H13" s="301"/>
      <c r="I13" s="301"/>
      <c r="J13" s="301"/>
      <c r="K13" s="301"/>
      <c r="L13" s="301"/>
      <c r="M13" s="301"/>
      <c r="N13" s="301"/>
      <c r="O13" s="301"/>
      <c r="P13" s="301"/>
      <c r="Q13" s="301"/>
      <c r="R13" s="301"/>
      <c r="S13" s="301"/>
      <c r="T13" s="301"/>
      <c r="U13" s="301"/>
      <c r="V13" s="302"/>
      <c r="W13" s="302"/>
      <c r="X13" s="302"/>
      <c r="Y13" s="302"/>
      <c r="Z13" s="302"/>
      <c r="AA13" s="302"/>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60"/>
      <c r="AX13" s="60"/>
      <c r="AY13" s="60"/>
      <c r="AZ13" s="60"/>
      <c r="BA13" s="60"/>
      <c r="BB13" s="60"/>
      <c r="BC13" s="60"/>
      <c r="BD13" s="60"/>
      <c r="BE13" s="60"/>
      <c r="BF13" s="60"/>
      <c r="BG13" s="60"/>
      <c r="BH13" s="60"/>
    </row>
    <row r="14" spans="1:60" ht="30" outlineLevel="1">
      <c r="A14" s="299" t="s">
        <v>503</v>
      </c>
      <c r="B14" s="69" t="s">
        <v>498</v>
      </c>
      <c r="C14" s="70"/>
      <c r="D14" s="303"/>
      <c r="E14" s="303"/>
      <c r="F14" s="303"/>
      <c r="G14" s="303"/>
      <c r="H14" s="303"/>
      <c r="I14" s="303"/>
      <c r="J14" s="303"/>
      <c r="K14" s="303"/>
      <c r="L14" s="303"/>
      <c r="M14" s="303"/>
      <c r="N14" s="303"/>
      <c r="O14" s="303"/>
      <c r="P14" s="303"/>
      <c r="Q14" s="303"/>
      <c r="R14" s="303"/>
      <c r="S14" s="303"/>
      <c r="T14" s="303"/>
      <c r="U14" s="303"/>
      <c r="V14" s="303"/>
      <c r="W14" s="303"/>
      <c r="X14" s="303"/>
      <c r="Y14" s="303"/>
      <c r="Z14" s="301"/>
      <c r="AA14" s="301"/>
      <c r="AB14" s="304"/>
      <c r="AC14" s="304"/>
      <c r="AD14" s="302"/>
      <c r="AE14" s="304"/>
      <c r="AF14" s="301"/>
      <c r="AG14" s="301"/>
      <c r="AH14" s="303"/>
      <c r="AI14" s="303"/>
      <c r="AJ14" s="303"/>
      <c r="AK14" s="303"/>
      <c r="AL14" s="303"/>
      <c r="AM14" s="303"/>
      <c r="AN14" s="303"/>
      <c r="AO14" s="303"/>
      <c r="AP14" s="303"/>
      <c r="AQ14" s="303"/>
      <c r="AR14" s="303"/>
      <c r="AS14" s="303"/>
      <c r="AT14" s="303"/>
      <c r="AU14" s="303"/>
      <c r="AV14" s="303"/>
      <c r="AW14" s="60"/>
      <c r="AX14" s="60"/>
      <c r="AY14" s="60"/>
      <c r="AZ14" s="60"/>
      <c r="BA14" s="60"/>
      <c r="BB14" s="60"/>
      <c r="BC14" s="60"/>
      <c r="BD14" s="60"/>
      <c r="BE14" s="60"/>
      <c r="BF14" s="60"/>
      <c r="BG14" s="60"/>
      <c r="BH14" s="60"/>
    </row>
    <row r="15" spans="1:60" ht="16.350000000000001" customHeight="1" outlineLevel="1">
      <c r="A15" s="299" t="s">
        <v>504</v>
      </c>
      <c r="B15" s="69" t="s">
        <v>505</v>
      </c>
      <c r="C15" s="70"/>
      <c r="D15" s="69"/>
      <c r="E15" s="69"/>
      <c r="F15" s="69"/>
      <c r="G15" s="69"/>
      <c r="H15" s="69"/>
      <c r="I15" s="69"/>
      <c r="J15" s="69"/>
      <c r="K15" s="69"/>
      <c r="L15" s="69"/>
      <c r="M15" s="69"/>
      <c r="N15" s="69"/>
      <c r="O15" s="69"/>
      <c r="P15" s="69"/>
      <c r="Q15" s="69"/>
      <c r="R15" s="69"/>
      <c r="S15" s="69"/>
      <c r="T15" s="69"/>
      <c r="U15" s="69"/>
      <c r="V15" s="69"/>
      <c r="W15" s="69"/>
      <c r="X15" s="69"/>
      <c r="Y15" s="69"/>
      <c r="Z15" s="301"/>
      <c r="AA15" s="301"/>
      <c r="AB15" s="69"/>
      <c r="AC15" s="69"/>
      <c r="AD15" s="300"/>
      <c r="AE15" s="300"/>
      <c r="AF15" s="300"/>
      <c r="AG15" s="300"/>
      <c r="AH15" s="300"/>
      <c r="AI15" s="300"/>
      <c r="AJ15" s="300"/>
      <c r="AK15" s="300"/>
      <c r="AL15" s="300"/>
      <c r="AM15" s="300"/>
      <c r="AN15" s="300"/>
      <c r="AO15" s="300"/>
      <c r="AP15" s="300"/>
      <c r="AQ15" s="300"/>
      <c r="AR15" s="300"/>
      <c r="AS15" s="69"/>
      <c r="AT15" s="69"/>
      <c r="AU15" s="69"/>
      <c r="AV15" s="69"/>
      <c r="AW15" s="60"/>
      <c r="AX15" s="60"/>
      <c r="AY15" s="60"/>
      <c r="AZ15" s="60"/>
      <c r="BA15" s="60"/>
      <c r="BB15" s="60"/>
      <c r="BC15" s="60"/>
      <c r="BD15" s="60"/>
      <c r="BE15" s="60"/>
      <c r="BF15" s="60"/>
      <c r="BG15" s="60"/>
      <c r="BH15" s="60"/>
    </row>
    <row r="16" spans="1:60">
      <c r="A16" s="67"/>
      <c r="B16" s="69"/>
      <c r="C16" s="70"/>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0"/>
      <c r="AX16" s="60"/>
      <c r="AY16" s="60"/>
      <c r="AZ16" s="60"/>
      <c r="BA16" s="60"/>
      <c r="BB16" s="60"/>
      <c r="BC16" s="60"/>
      <c r="BD16" s="60"/>
      <c r="BE16" s="60"/>
      <c r="BF16" s="60"/>
      <c r="BG16" s="60"/>
      <c r="BH16" s="60"/>
    </row>
    <row r="17" spans="1:60">
      <c r="A17" s="305" t="s">
        <v>506</v>
      </c>
      <c r="B17" s="60"/>
      <c r="C17" s="70" t="s">
        <v>507</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row>
    <row r="18" spans="1:60" outlineLevel="1">
      <c r="A18" s="306" t="s">
        <v>489</v>
      </c>
      <c r="B18" s="69" t="s">
        <v>485</v>
      </c>
      <c r="C18" s="70" t="s">
        <v>508</v>
      </c>
      <c r="D18" s="60"/>
      <c r="E18" s="60"/>
      <c r="F18" s="60"/>
      <c r="G18" s="60"/>
      <c r="H18" s="60"/>
      <c r="I18" s="60"/>
      <c r="J18" s="60"/>
      <c r="K18" s="60"/>
      <c r="L18" s="60"/>
      <c r="M18" s="60"/>
      <c r="N18" s="60"/>
      <c r="O18" s="60"/>
      <c r="P18" s="60"/>
      <c r="Q18" s="307"/>
      <c r="R18" s="307"/>
      <c r="S18" s="307"/>
      <c r="T18" s="307"/>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row>
    <row r="19" spans="1:60" outlineLevel="1">
      <c r="A19" s="306" t="s">
        <v>509</v>
      </c>
      <c r="B19" s="60" t="s">
        <v>485</v>
      </c>
      <c r="C19" s="71"/>
      <c r="D19" s="60"/>
      <c r="E19" s="60"/>
      <c r="F19" s="60"/>
      <c r="G19" s="60"/>
      <c r="H19" s="60"/>
      <c r="I19" s="60"/>
      <c r="J19" s="60"/>
      <c r="K19" s="60"/>
      <c r="L19" s="60"/>
      <c r="M19" s="60"/>
      <c r="N19" s="60"/>
      <c r="O19" s="60"/>
      <c r="P19" s="60"/>
      <c r="Q19" s="60"/>
      <c r="R19" s="60"/>
      <c r="S19" s="60"/>
      <c r="T19" s="60"/>
      <c r="U19" s="308"/>
      <c r="V19" s="308"/>
      <c r="W19" s="308"/>
      <c r="X19" s="308"/>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row>
    <row r="20" spans="1:60" outlineLevel="1">
      <c r="A20" s="306" t="s">
        <v>494</v>
      </c>
      <c r="B20" s="60" t="s">
        <v>495</v>
      </c>
      <c r="C20" s="71"/>
      <c r="D20" s="309"/>
      <c r="E20" s="309"/>
      <c r="F20" s="309"/>
      <c r="G20" s="309"/>
      <c r="H20" s="309"/>
      <c r="I20" s="309"/>
      <c r="J20" s="309"/>
      <c r="K20" s="309"/>
      <c r="L20" s="309"/>
      <c r="M20" s="309"/>
      <c r="N20" s="309"/>
      <c r="O20" s="60"/>
      <c r="P20" s="60"/>
      <c r="Q20" s="309"/>
      <c r="R20" s="309"/>
      <c r="S20" s="309"/>
      <c r="T20" s="309"/>
      <c r="U20" s="309"/>
      <c r="V20" s="309"/>
      <c r="W20" s="309"/>
      <c r="X20" s="309"/>
      <c r="Y20" s="308"/>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60"/>
      <c r="AX20" s="60"/>
      <c r="AY20" s="60"/>
      <c r="AZ20" s="60"/>
      <c r="BA20" s="60"/>
      <c r="BB20" s="60"/>
      <c r="BC20" s="60"/>
      <c r="BD20" s="60"/>
      <c r="BE20" s="60"/>
      <c r="BF20" s="60"/>
      <c r="BG20" s="60"/>
      <c r="BH20" s="60"/>
    </row>
    <row r="21" spans="1:60" ht="14.45" customHeight="1" outlineLevel="1">
      <c r="A21" s="306" t="s">
        <v>497</v>
      </c>
      <c r="B21" s="60" t="s">
        <v>498</v>
      </c>
      <c r="C21" s="71"/>
      <c r="D21" s="60"/>
      <c r="E21" s="60"/>
      <c r="F21" s="60"/>
      <c r="G21" s="60"/>
      <c r="H21" s="60"/>
      <c r="I21" s="60"/>
      <c r="J21" s="60"/>
      <c r="K21" s="60"/>
      <c r="L21" s="60"/>
      <c r="M21" s="60"/>
      <c r="N21" s="60"/>
      <c r="O21" s="60"/>
      <c r="P21" s="60"/>
      <c r="Q21" s="60"/>
      <c r="R21" s="60"/>
      <c r="S21" s="60"/>
      <c r="T21" s="60"/>
      <c r="U21" s="60"/>
      <c r="V21" s="60"/>
      <c r="W21" s="60"/>
      <c r="X21" s="60"/>
      <c r="Y21" s="60"/>
      <c r="Z21" s="307"/>
      <c r="AA21" s="307"/>
      <c r="AB21" s="307"/>
      <c r="AC21" s="307"/>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row>
    <row r="22" spans="1:60" ht="30" outlineLevel="1">
      <c r="A22" s="306" t="s">
        <v>500</v>
      </c>
      <c r="B22" s="69" t="s">
        <v>501</v>
      </c>
      <c r="C22" s="70" t="s">
        <v>510</v>
      </c>
      <c r="D22" s="301"/>
      <c r="E22" s="301"/>
      <c r="F22" s="301"/>
      <c r="G22" s="301"/>
      <c r="H22" s="301"/>
      <c r="I22" s="301"/>
      <c r="J22" s="301"/>
      <c r="K22" s="301"/>
      <c r="L22" s="301"/>
      <c r="M22" s="301"/>
      <c r="N22" s="301"/>
      <c r="O22" s="60"/>
      <c r="P22" s="60"/>
      <c r="Q22" s="301"/>
      <c r="R22" s="301"/>
      <c r="S22" s="301"/>
      <c r="T22" s="301"/>
      <c r="U22" s="301"/>
      <c r="V22" s="301"/>
      <c r="W22" s="301"/>
      <c r="X22" s="301"/>
      <c r="Y22" s="301"/>
      <c r="Z22" s="307"/>
      <c r="AA22" s="307"/>
      <c r="AB22" s="307"/>
      <c r="AC22" s="307"/>
      <c r="AD22" s="307"/>
      <c r="AE22" s="307"/>
      <c r="AF22" s="301"/>
      <c r="AG22" s="301"/>
      <c r="AH22" s="301"/>
      <c r="AI22" s="301"/>
      <c r="AJ22" s="301"/>
      <c r="AK22" s="301"/>
      <c r="AL22" s="301"/>
      <c r="AM22" s="301"/>
      <c r="AN22" s="301"/>
      <c r="AO22" s="301"/>
      <c r="AP22" s="301"/>
      <c r="AQ22" s="301"/>
      <c r="AR22" s="301"/>
      <c r="AS22" s="301"/>
      <c r="AT22" s="301"/>
      <c r="AU22" s="301"/>
      <c r="AV22" s="301"/>
      <c r="AW22" s="60"/>
      <c r="AX22" s="60"/>
      <c r="AY22" s="60"/>
      <c r="AZ22" s="60"/>
      <c r="BA22" s="60"/>
      <c r="BB22" s="60"/>
      <c r="BC22" s="60"/>
      <c r="BD22" s="60"/>
      <c r="BE22" s="60"/>
      <c r="BF22" s="60"/>
      <c r="BG22" s="60"/>
      <c r="BH22" s="60"/>
    </row>
    <row r="23" spans="1:60" ht="30" outlineLevel="1">
      <c r="A23" s="306" t="s">
        <v>503</v>
      </c>
      <c r="B23" s="60" t="s">
        <v>498</v>
      </c>
      <c r="C23" s="71"/>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307"/>
      <c r="AG23" s="307"/>
      <c r="AH23" s="307"/>
      <c r="AI23" s="307"/>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row>
    <row r="24" spans="1:60" ht="12" customHeight="1" outlineLevel="1">
      <c r="A24" s="306" t="s">
        <v>504</v>
      </c>
      <c r="B24" s="69" t="s">
        <v>505</v>
      </c>
      <c r="C24" s="70"/>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10"/>
      <c r="AI24" s="310"/>
      <c r="AJ24" s="310"/>
      <c r="AK24" s="310"/>
      <c r="AL24" s="310"/>
      <c r="AM24" s="310"/>
      <c r="AN24" s="310"/>
      <c r="AO24" s="310"/>
      <c r="AP24" s="310"/>
      <c r="AQ24" s="310"/>
      <c r="AR24" s="310"/>
      <c r="AS24" s="310"/>
      <c r="AT24" s="310"/>
      <c r="AU24" s="310"/>
      <c r="AV24" s="310"/>
      <c r="AW24" s="60"/>
      <c r="AX24" s="60"/>
      <c r="AY24" s="60"/>
      <c r="AZ24" s="60"/>
      <c r="BA24" s="60"/>
      <c r="BB24" s="60"/>
      <c r="BC24" s="60"/>
      <c r="BD24" s="60"/>
      <c r="BE24" s="60"/>
      <c r="BF24" s="60"/>
      <c r="BG24" s="60"/>
      <c r="BH24" s="60"/>
    </row>
    <row r="25" spans="1:60">
      <c r="A25" s="311"/>
      <c r="B25" s="69"/>
      <c r="C25" s="70"/>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0"/>
      <c r="AX25" s="60"/>
      <c r="AY25" s="60"/>
      <c r="AZ25" s="60"/>
      <c r="BA25" s="60"/>
      <c r="BB25" s="60"/>
      <c r="BC25" s="60"/>
      <c r="BD25" s="60"/>
      <c r="BE25" s="60"/>
      <c r="BF25" s="60"/>
      <c r="BG25" s="60"/>
      <c r="BH25" s="60"/>
    </row>
    <row r="26" spans="1:60">
      <c r="A26" s="312" t="s">
        <v>511</v>
      </c>
      <c r="B26" s="69"/>
      <c r="C26" s="70" t="s">
        <v>507</v>
      </c>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0"/>
      <c r="AX26" s="60"/>
      <c r="AY26" s="60"/>
      <c r="AZ26" s="60"/>
      <c r="BA26" s="60"/>
      <c r="BB26" s="60"/>
      <c r="BC26" s="60"/>
      <c r="BD26" s="60"/>
      <c r="BE26" s="60"/>
      <c r="BF26" s="60"/>
      <c r="BG26" s="60"/>
      <c r="BH26" s="60"/>
    </row>
    <row r="27" spans="1:60" ht="15.6" customHeight="1" outlineLevel="1">
      <c r="A27" s="313" t="s">
        <v>489</v>
      </c>
      <c r="B27" s="69" t="s">
        <v>485</v>
      </c>
      <c r="C27" s="70" t="s">
        <v>508</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314"/>
      <c r="AD27" s="314"/>
      <c r="AE27" s="314"/>
      <c r="AF27" s="314"/>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row>
    <row r="28" spans="1:60" outlineLevel="1">
      <c r="A28" s="313" t="s">
        <v>509</v>
      </c>
      <c r="B28" s="60" t="s">
        <v>485</v>
      </c>
      <c r="C28" s="71"/>
      <c r="D28" s="69"/>
      <c r="E28" s="69"/>
      <c r="F28" s="69"/>
      <c r="G28" s="69"/>
      <c r="H28" s="69"/>
      <c r="I28" s="69"/>
      <c r="J28" s="69"/>
      <c r="K28" s="69"/>
      <c r="L28" s="69"/>
      <c r="M28" s="69"/>
      <c r="N28" s="69"/>
      <c r="O28" s="69"/>
      <c r="P28" s="69"/>
      <c r="Q28" s="69"/>
      <c r="R28" s="69"/>
      <c r="S28" s="69"/>
      <c r="T28" s="69"/>
      <c r="U28" s="69"/>
      <c r="V28" s="69"/>
      <c r="W28" s="69"/>
      <c r="X28" s="69"/>
      <c r="Y28" s="69"/>
      <c r="Z28" s="69"/>
      <c r="AA28" s="69"/>
      <c r="AB28" s="60"/>
      <c r="AC28" s="60"/>
      <c r="AD28" s="60"/>
      <c r="AE28" s="60"/>
      <c r="AF28" s="60"/>
      <c r="AG28" s="315"/>
      <c r="AH28" s="315"/>
      <c r="AI28" s="315"/>
      <c r="AJ28" s="315"/>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row>
    <row r="29" spans="1:60" outlineLevel="1">
      <c r="A29" s="313" t="s">
        <v>494</v>
      </c>
      <c r="B29" s="60" t="s">
        <v>495</v>
      </c>
      <c r="C29" s="71"/>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9"/>
      <c r="AC29" s="309"/>
      <c r="AD29" s="309"/>
      <c r="AE29" s="309"/>
      <c r="AF29" s="309"/>
      <c r="AG29" s="309"/>
      <c r="AH29" s="309"/>
      <c r="AI29" s="309"/>
      <c r="AJ29" s="309"/>
      <c r="AK29" s="315"/>
      <c r="AL29" s="309"/>
      <c r="AM29" s="309"/>
      <c r="AN29" s="309"/>
      <c r="AO29" s="309"/>
      <c r="AP29" s="309"/>
      <c r="AQ29" s="309"/>
      <c r="AR29" s="309"/>
      <c r="AS29" s="309"/>
      <c r="AT29" s="309"/>
      <c r="AU29" s="309"/>
      <c r="AV29" s="309"/>
      <c r="AW29" s="309"/>
      <c r="AX29" s="309"/>
      <c r="AY29" s="309"/>
      <c r="AZ29" s="309"/>
      <c r="BA29" s="309"/>
      <c r="BB29" s="309"/>
      <c r="BC29" s="309"/>
      <c r="BD29" s="60"/>
      <c r="BE29" s="60"/>
      <c r="BF29" s="60"/>
      <c r="BG29" s="60"/>
      <c r="BH29" s="60"/>
    </row>
    <row r="30" spans="1:60" outlineLevel="1">
      <c r="A30" s="313" t="s">
        <v>497</v>
      </c>
      <c r="B30" s="60" t="s">
        <v>498</v>
      </c>
      <c r="C30" s="71"/>
      <c r="D30" s="69"/>
      <c r="E30" s="69"/>
      <c r="F30" s="69"/>
      <c r="G30" s="69"/>
      <c r="H30" s="69"/>
      <c r="I30" s="69"/>
      <c r="J30" s="69"/>
      <c r="K30" s="69"/>
      <c r="L30" s="69"/>
      <c r="M30" s="69"/>
      <c r="N30" s="69"/>
      <c r="O30" s="69"/>
      <c r="P30" s="69"/>
      <c r="Q30" s="69"/>
      <c r="R30" s="69"/>
      <c r="S30" s="69"/>
      <c r="T30" s="69"/>
      <c r="U30" s="69"/>
      <c r="V30" s="69"/>
      <c r="W30" s="69"/>
      <c r="X30" s="69"/>
      <c r="Y30" s="69"/>
      <c r="Z30" s="69"/>
      <c r="AA30" s="69"/>
      <c r="AB30" s="60"/>
      <c r="AC30" s="60"/>
      <c r="AD30" s="60"/>
      <c r="AE30" s="60"/>
      <c r="AF30" s="60"/>
      <c r="AG30" s="60"/>
      <c r="AH30" s="60"/>
      <c r="AI30" s="60"/>
      <c r="AJ30" s="60"/>
      <c r="AK30" s="60"/>
      <c r="AL30" s="314"/>
      <c r="AM30" s="314"/>
      <c r="AN30" s="314"/>
      <c r="AO30" s="314"/>
      <c r="AP30" s="60"/>
      <c r="AQ30" s="60"/>
      <c r="AR30" s="60"/>
      <c r="AS30" s="60"/>
      <c r="AT30" s="60"/>
      <c r="AU30" s="60"/>
      <c r="AV30" s="60"/>
      <c r="AW30" s="60"/>
      <c r="AX30" s="60"/>
      <c r="AY30" s="60"/>
      <c r="AZ30" s="60"/>
      <c r="BA30" s="60"/>
      <c r="BB30" s="60"/>
      <c r="BC30" s="60"/>
      <c r="BD30" s="60"/>
      <c r="BE30" s="60"/>
      <c r="BF30" s="60"/>
      <c r="BG30" s="60"/>
      <c r="BH30" s="60"/>
    </row>
    <row r="31" spans="1:60" ht="30" outlineLevel="1">
      <c r="A31" s="313" t="s">
        <v>500</v>
      </c>
      <c r="B31" s="69" t="s">
        <v>501</v>
      </c>
      <c r="C31" s="70" t="s">
        <v>510</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14"/>
      <c r="AM31" s="314"/>
      <c r="AN31" s="314"/>
      <c r="AO31" s="314"/>
      <c r="AP31" s="314"/>
      <c r="AQ31" s="314"/>
      <c r="AR31" s="60"/>
      <c r="AS31" s="60"/>
      <c r="AT31" s="60"/>
      <c r="AU31" s="60"/>
      <c r="AV31" s="60"/>
      <c r="AW31" s="60"/>
      <c r="AX31" s="60"/>
      <c r="AY31" s="60"/>
      <c r="AZ31" s="60"/>
      <c r="BA31" s="60"/>
      <c r="BB31" s="60"/>
      <c r="BC31" s="60"/>
      <c r="BD31" s="60"/>
      <c r="BE31" s="60"/>
      <c r="BF31" s="60"/>
      <c r="BG31" s="60"/>
      <c r="BH31" s="60"/>
    </row>
    <row r="32" spans="1:60" ht="30" outlineLevel="1">
      <c r="A32" s="313" t="s">
        <v>503</v>
      </c>
      <c r="B32" s="60" t="s">
        <v>498</v>
      </c>
      <c r="C32" s="71"/>
      <c r="D32" s="69"/>
      <c r="E32" s="69"/>
      <c r="F32" s="69"/>
      <c r="G32" s="69"/>
      <c r="H32" s="69"/>
      <c r="I32" s="69"/>
      <c r="J32" s="69"/>
      <c r="K32" s="69"/>
      <c r="L32" s="69"/>
      <c r="M32" s="69"/>
      <c r="N32" s="69"/>
      <c r="O32" s="69"/>
      <c r="P32" s="69"/>
      <c r="Q32" s="69"/>
      <c r="R32" s="69"/>
      <c r="S32" s="69"/>
      <c r="T32" s="69"/>
      <c r="U32" s="69"/>
      <c r="V32" s="69"/>
      <c r="W32" s="69"/>
      <c r="X32" s="69"/>
      <c r="Y32" s="69"/>
      <c r="Z32" s="69"/>
      <c r="AA32" s="69"/>
      <c r="AB32" s="60"/>
      <c r="AC32" s="60"/>
      <c r="AD32" s="60"/>
      <c r="AE32" s="60"/>
      <c r="AF32" s="60"/>
      <c r="AG32" s="60"/>
      <c r="AH32" s="60"/>
      <c r="AI32" s="60"/>
      <c r="AJ32" s="60"/>
      <c r="AK32" s="60"/>
      <c r="AL32" s="60"/>
      <c r="AM32" s="60"/>
      <c r="AN32" s="60"/>
      <c r="AO32" s="60"/>
      <c r="AP32" s="60"/>
      <c r="AQ32" s="60"/>
      <c r="AR32" s="314"/>
      <c r="AS32" s="314"/>
      <c r="AT32" s="314"/>
      <c r="AU32" s="314"/>
      <c r="AV32" s="60"/>
      <c r="AW32" s="60"/>
      <c r="AX32" s="60"/>
      <c r="AY32" s="60"/>
      <c r="AZ32" s="60"/>
      <c r="BA32" s="60"/>
      <c r="BB32" s="60"/>
      <c r="BC32" s="60"/>
      <c r="BD32" s="60"/>
      <c r="BE32" s="60"/>
      <c r="BF32" s="60"/>
      <c r="BG32" s="60"/>
      <c r="BH32" s="60"/>
    </row>
    <row r="33" spans="1:60" ht="12" customHeight="1" outlineLevel="1">
      <c r="A33" s="313" t="s">
        <v>504</v>
      </c>
      <c r="B33" s="69" t="s">
        <v>505</v>
      </c>
      <c r="C33" s="70"/>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316"/>
      <c r="AU33" s="316"/>
      <c r="AV33" s="316"/>
      <c r="AW33" s="316"/>
      <c r="AX33" s="316"/>
      <c r="AY33" s="316"/>
      <c r="AZ33" s="316"/>
      <c r="BA33" s="316"/>
      <c r="BB33" s="316"/>
      <c r="BC33" s="316"/>
      <c r="BD33" s="316"/>
      <c r="BE33" s="316"/>
      <c r="BF33" s="316"/>
      <c r="BG33" s="316"/>
      <c r="BH33" s="316"/>
    </row>
    <row r="34" spans="1:60" outlineLevel="1">
      <c r="A34" s="200"/>
      <c r="B34" s="53"/>
      <c r="C34" s="74"/>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row>
    <row r="35" spans="1:60">
      <c r="A35" s="200"/>
      <c r="B35" s="53"/>
      <c r="C35" s="74"/>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row>
    <row r="36" spans="1:60">
      <c r="A36" s="218"/>
      <c r="B36" s="53"/>
      <c r="C36" s="74"/>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row>
    <row r="37" spans="1:60">
      <c r="C37" s="72"/>
    </row>
  </sheetData>
  <sheetProtection algorithmName="SHA-512" hashValue="GKiggzPVZbTLHYkp5SAg67Fgi6o2QeUdPndn5Tvvl04mahLvHdLqrWa5ucwydQAS3j6GKUwcSXV5sM0KwA281Q==" saltValue="LJhQ/mT69xQvfatSeMGdRA==" spinCount="100000" sheet="1" objects="1" scenarios="1"/>
  <mergeCells count="5">
    <mergeCell ref="AW4:BH4"/>
    <mergeCell ref="D4:L4"/>
    <mergeCell ref="M4:X4"/>
    <mergeCell ref="Y4:AJ4"/>
    <mergeCell ref="AK4:AV4"/>
  </mergeCells>
  <phoneticPr fontId="3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59BE-D7A1-4796-82D3-9D3248D19C83}">
  <dimension ref="A1:E21"/>
  <sheetViews>
    <sheetView workbookViewId="0">
      <selection activeCell="G13" sqref="G13"/>
    </sheetView>
  </sheetViews>
  <sheetFormatPr defaultColWidth="8.85546875" defaultRowHeight="15"/>
  <cols>
    <col min="2" max="2" width="11.42578125" customWidth="1"/>
    <col min="3" max="3" width="8" bestFit="1" customWidth="1"/>
    <col min="4" max="5" width="12.5703125" customWidth="1"/>
  </cols>
  <sheetData>
    <row r="1" spans="1:5" ht="21">
      <c r="A1" s="421" t="s">
        <v>512</v>
      </c>
    </row>
    <row r="2" spans="1:5">
      <c r="C2" s="348"/>
      <c r="D2" s="348"/>
    </row>
    <row r="3" spans="1:5">
      <c r="A3" s="348" t="s">
        <v>513</v>
      </c>
      <c r="B3" s="348"/>
      <c r="C3" s="348"/>
      <c r="D3" s="348"/>
    </row>
    <row r="4" spans="1:5" ht="30">
      <c r="B4" s="349" t="s">
        <v>514</v>
      </c>
      <c r="C4" s="350" t="s">
        <v>515</v>
      </c>
      <c r="D4" s="356" t="s">
        <v>516</v>
      </c>
      <c r="E4" s="295" t="s">
        <v>517</v>
      </c>
    </row>
    <row r="5" spans="1:5">
      <c r="B5" s="351" t="s">
        <v>518</v>
      </c>
      <c r="C5" s="352" t="s">
        <v>519</v>
      </c>
      <c r="D5" s="353"/>
      <c r="E5" s="354"/>
    </row>
    <row r="6" spans="1:5">
      <c r="B6" s="351" t="s">
        <v>520</v>
      </c>
      <c r="C6" s="352" t="s">
        <v>521</v>
      </c>
      <c r="D6" s="353"/>
      <c r="E6" s="354">
        <f>B6/B5-1</f>
        <v>8.4674005080431769E-4</v>
      </c>
    </row>
    <row r="7" spans="1:5">
      <c r="B7" s="351" t="s">
        <v>522</v>
      </c>
      <c r="C7" s="352" t="s">
        <v>523</v>
      </c>
      <c r="D7" s="353"/>
      <c r="E7" s="354">
        <f t="shared" ref="E7:E13" si="0">B7/B6-1</f>
        <v>-1.3536379018612488E-2</v>
      </c>
    </row>
    <row r="8" spans="1:5">
      <c r="B8" s="351" t="s">
        <v>518</v>
      </c>
      <c r="C8" s="352" t="s">
        <v>524</v>
      </c>
      <c r="D8" s="354"/>
      <c r="E8" s="354">
        <f t="shared" si="0"/>
        <v>1.2864493996569415E-2</v>
      </c>
    </row>
    <row r="9" spans="1:5">
      <c r="B9" s="351" t="s">
        <v>520</v>
      </c>
      <c r="C9" s="352" t="s">
        <v>525</v>
      </c>
      <c r="D9" s="354">
        <f>B9/B5-1</f>
        <v>8.4674005080431769E-4</v>
      </c>
      <c r="E9" s="354">
        <f t="shared" si="0"/>
        <v>8.4674005080431769E-4</v>
      </c>
    </row>
    <row r="10" spans="1:5">
      <c r="B10" s="351" t="s">
        <v>526</v>
      </c>
      <c r="C10" s="352" t="s">
        <v>527</v>
      </c>
      <c r="D10" s="354">
        <f>B10/B6-1</f>
        <v>1.3536379018612488E-2</v>
      </c>
      <c r="E10" s="354">
        <f t="shared" si="0"/>
        <v>1.3536379018612488E-2</v>
      </c>
    </row>
    <row r="11" spans="1:5">
      <c r="B11" s="351" t="s">
        <v>528</v>
      </c>
      <c r="C11" s="352" t="s">
        <v>529</v>
      </c>
      <c r="D11" s="354">
        <f>B11/B7-1</f>
        <v>4.8885077186963999E-2</v>
      </c>
      <c r="E11" s="354">
        <f t="shared" si="0"/>
        <v>2.0868113522537479E-2</v>
      </c>
    </row>
    <row r="12" spans="1:5">
      <c r="B12" s="351" t="s">
        <v>530</v>
      </c>
      <c r="C12" s="352" t="s">
        <v>531</v>
      </c>
      <c r="D12" s="354">
        <f>B12/B8-1</f>
        <v>6.0965283657917091E-2</v>
      </c>
      <c r="E12" s="354">
        <f t="shared" si="0"/>
        <v>2.4529844644317178E-2</v>
      </c>
    </row>
    <row r="13" spans="1:5">
      <c r="B13" s="351" t="s">
        <v>532</v>
      </c>
      <c r="C13" s="352" t="s">
        <v>533</v>
      </c>
      <c r="D13" s="354">
        <f>B13/B9-1</f>
        <v>8.9678510998308036E-2</v>
      </c>
      <c r="E13" s="354">
        <f t="shared" si="0"/>
        <v>2.7932960893854775E-2</v>
      </c>
    </row>
    <row r="14" spans="1:5">
      <c r="C14" s="56" t="s">
        <v>534</v>
      </c>
      <c r="D14" s="355">
        <f>AVERAGE(D5:D13)</f>
        <v>4.2782398182521185E-2</v>
      </c>
      <c r="E14" s="355">
        <f>AVERAGE(E5:E13)</f>
        <v>1.0986111644860935E-2</v>
      </c>
    </row>
    <row r="21" spans="5:5">
      <c r="E21" s="53"/>
    </row>
  </sheetData>
  <sheetProtection algorithmName="SHA-512" hashValue="BHkKQuVnmTlMOoE7ryK/H0E1hSYHnZ30836wZ3xAQi7Kuo/27L2HE3MP1YaVqnPaLNTQBDjGcL+3QIghP0mmKw==" saltValue="3Zak+7JznFFFHyqIFnS7L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C1BB-8E1D-442A-B81A-A10A121D5DDB}">
  <dimension ref="A1:K45"/>
  <sheetViews>
    <sheetView workbookViewId="0">
      <selection activeCell="A9" sqref="A9:XFD9"/>
    </sheetView>
  </sheetViews>
  <sheetFormatPr defaultRowHeight="15"/>
  <cols>
    <col min="1" max="1" width="33.42578125" style="53" bestFit="1" customWidth="1"/>
    <col min="2" max="3" width="12.5703125" customWidth="1"/>
    <col min="4" max="4" width="1.42578125" customWidth="1"/>
    <col min="5" max="6" width="12.5703125" customWidth="1"/>
    <col min="7" max="7" width="1.42578125" customWidth="1"/>
    <col min="8" max="8" width="10.5703125" customWidth="1"/>
    <col min="9" max="9" width="12.42578125" customWidth="1"/>
    <col min="10" max="10" width="8.85546875"/>
    <col min="11" max="11" width="37" customWidth="1"/>
  </cols>
  <sheetData>
    <row r="1" spans="1:11" ht="21">
      <c r="A1" s="442" t="s">
        <v>535</v>
      </c>
    </row>
    <row r="3" spans="1:11" ht="43.35" customHeight="1">
      <c r="A3" s="68" t="s">
        <v>156</v>
      </c>
      <c r="B3" s="465" t="s">
        <v>536</v>
      </c>
      <c r="C3" s="466"/>
      <c r="E3" s="465" t="s">
        <v>537</v>
      </c>
      <c r="F3" s="466"/>
      <c r="H3" s="465" t="s">
        <v>538</v>
      </c>
      <c r="I3" s="466"/>
      <c r="J3" s="68" t="s">
        <v>157</v>
      </c>
      <c r="K3" s="68" t="s">
        <v>159</v>
      </c>
    </row>
    <row r="4" spans="1:11">
      <c r="A4" s="69" t="s">
        <v>539</v>
      </c>
      <c r="B4" s="422">
        <f>B5*1000*24/1000000</f>
        <v>7.2</v>
      </c>
      <c r="C4" s="422">
        <f>C5*1000*24/1000000</f>
        <v>2.1120000000000001</v>
      </c>
      <c r="E4" s="422">
        <f>E5*1000*24/1000000</f>
        <v>13.92</v>
      </c>
      <c r="F4" s="422">
        <f>F5*1000*24/1000000</f>
        <v>7.68</v>
      </c>
      <c r="H4" s="422">
        <f>H5*1000*24/1000000</f>
        <v>31.68</v>
      </c>
      <c r="I4" s="422">
        <f>I5*1000*24/1000000</f>
        <v>16.007999999999999</v>
      </c>
      <c r="J4" s="69" t="str">
        <f>[1]Flows!C12</f>
        <v>MLD</v>
      </c>
      <c r="K4" s="70"/>
    </row>
    <row r="5" spans="1:11">
      <c r="A5" s="69"/>
      <c r="B5" s="422">
        <v>300</v>
      </c>
      <c r="C5" s="422">
        <v>88</v>
      </c>
      <c r="E5" s="422">
        <v>580</v>
      </c>
      <c r="F5" s="422">
        <v>320</v>
      </c>
      <c r="H5" s="422">
        <f>MAX('Original PS List'!O4:O55)</f>
        <v>1320</v>
      </c>
      <c r="I5" s="422">
        <v>667</v>
      </c>
      <c r="J5" s="69" t="s">
        <v>207</v>
      </c>
      <c r="K5" s="70"/>
    </row>
    <row r="6" spans="1:11" ht="45">
      <c r="A6" s="70" t="s">
        <v>540</v>
      </c>
      <c r="B6" s="423">
        <f>B4/3</f>
        <v>2.4</v>
      </c>
      <c r="C6" s="423">
        <f>C4/3</f>
        <v>0.70400000000000007</v>
      </c>
      <c r="E6" s="423">
        <f>E4/3</f>
        <v>4.6399999999999997</v>
      </c>
      <c r="F6" s="423">
        <f>F4/3</f>
        <v>2.56</v>
      </c>
      <c r="H6" s="423">
        <f>H4/3</f>
        <v>10.56</v>
      </c>
      <c r="I6" s="423">
        <f>I4/3</f>
        <v>5.3359999999999994</v>
      </c>
      <c r="J6" s="70" t="s">
        <v>541</v>
      </c>
      <c r="K6" s="70" t="s">
        <v>542</v>
      </c>
    </row>
    <row r="7" spans="1:11">
      <c r="A7" s="70" t="s">
        <v>543</v>
      </c>
      <c r="B7" s="424">
        <f>0.1*B4</f>
        <v>0.72000000000000008</v>
      </c>
      <c r="C7" s="424">
        <f>0.1*C4</f>
        <v>0.21120000000000003</v>
      </c>
      <c r="E7" s="424">
        <f>0.1*E4</f>
        <v>1.3920000000000001</v>
      </c>
      <c r="F7" s="424">
        <f>0.1*F4</f>
        <v>0.76800000000000002</v>
      </c>
      <c r="H7" s="424">
        <f>0.1*H4</f>
        <v>3.1680000000000001</v>
      </c>
      <c r="I7" s="424">
        <f>0.1*I4</f>
        <v>1.6008</v>
      </c>
      <c r="J7" s="71" t="s">
        <v>541</v>
      </c>
      <c r="K7" s="70" t="s">
        <v>544</v>
      </c>
    </row>
    <row r="8" spans="1:11">
      <c r="A8" s="74"/>
      <c r="B8" s="72"/>
      <c r="C8" s="72"/>
      <c r="E8" s="72"/>
      <c r="F8" s="72"/>
      <c r="H8" s="72"/>
      <c r="I8" s="72"/>
      <c r="J8" s="72"/>
      <c r="K8" s="72"/>
    </row>
    <row r="9" spans="1:11">
      <c r="A9" s="74"/>
      <c r="B9" s="72"/>
      <c r="C9" s="72"/>
      <c r="E9" s="72"/>
      <c r="F9" s="72"/>
      <c r="H9" s="72"/>
      <c r="I9" s="72"/>
      <c r="J9" s="72"/>
      <c r="K9" s="72"/>
    </row>
    <row r="10" spans="1:11">
      <c r="A10" s="443" t="s">
        <v>545</v>
      </c>
      <c r="B10" s="425"/>
      <c r="C10" s="425"/>
      <c r="E10" s="425"/>
      <c r="F10" s="425"/>
      <c r="H10" s="425"/>
      <c r="I10" s="425"/>
      <c r="J10" s="425"/>
      <c r="K10" s="425"/>
    </row>
    <row r="11" spans="1:11">
      <c r="A11" s="68" t="s">
        <v>156</v>
      </c>
      <c r="B11" s="465" t="s">
        <v>536</v>
      </c>
      <c r="C11" s="466"/>
      <c r="E11" s="465" t="s">
        <v>537</v>
      </c>
      <c r="F11" s="466"/>
      <c r="H11" s="465" t="s">
        <v>538</v>
      </c>
      <c r="I11" s="466"/>
      <c r="J11" s="426" t="s">
        <v>157</v>
      </c>
      <c r="K11" s="68" t="s">
        <v>159</v>
      </c>
    </row>
    <row r="12" spans="1:11">
      <c r="A12" s="70" t="s">
        <v>546</v>
      </c>
      <c r="B12" s="427">
        <f>H12</f>
        <v>1</v>
      </c>
      <c r="C12" s="427">
        <f>I12</f>
        <v>1</v>
      </c>
      <c r="E12" s="427">
        <f>H12</f>
        <v>1</v>
      </c>
      <c r="F12" s="427">
        <f>I12</f>
        <v>1</v>
      </c>
      <c r="H12" s="427">
        <f>1</f>
        <v>1</v>
      </c>
      <c r="I12" s="427">
        <f>1</f>
        <v>1</v>
      </c>
      <c r="J12" s="71"/>
      <c r="K12" s="70"/>
    </row>
    <row r="13" spans="1:11">
      <c r="A13" s="70" t="s">
        <v>547</v>
      </c>
      <c r="B13" s="427">
        <f>H13</f>
        <v>1</v>
      </c>
      <c r="C13" s="427">
        <f>I13</f>
        <v>1</v>
      </c>
      <c r="E13" s="427">
        <f>H13</f>
        <v>1</v>
      </c>
      <c r="F13" s="427">
        <f>I13</f>
        <v>1</v>
      </c>
      <c r="H13" s="427">
        <v>1</v>
      </c>
      <c r="I13" s="427">
        <v>1</v>
      </c>
      <c r="J13" s="71"/>
      <c r="K13" s="70"/>
    </row>
    <row r="14" spans="1:11">
      <c r="A14" s="73" t="s">
        <v>548</v>
      </c>
      <c r="B14" s="427">
        <v>14</v>
      </c>
      <c r="C14" s="427">
        <v>14</v>
      </c>
      <c r="E14" s="427">
        <v>14</v>
      </c>
      <c r="F14" s="427">
        <v>14</v>
      </c>
      <c r="H14" s="82">
        <v>14</v>
      </c>
      <c r="I14" s="82">
        <v>14</v>
      </c>
      <c r="J14" s="82" t="s">
        <v>549</v>
      </c>
      <c r="K14" s="73" t="s">
        <v>550</v>
      </c>
    </row>
    <row r="15" spans="1:11" ht="60">
      <c r="A15" s="73" t="s">
        <v>551</v>
      </c>
      <c r="B15" s="428" t="str">
        <f>H15</f>
        <v>Average Flow, Average Dose</v>
      </c>
      <c r="C15" s="428" t="str">
        <f>I15</f>
        <v>Average Flow, Average Dose</v>
      </c>
      <c r="E15" s="427" t="str">
        <f>H15</f>
        <v>Average Flow, Average Dose</v>
      </c>
      <c r="F15" s="428" t="str">
        <f>I15</f>
        <v>Average Flow, Average Dose</v>
      </c>
      <c r="H15" s="73" t="s">
        <v>552</v>
      </c>
      <c r="I15" s="73" t="s">
        <v>552</v>
      </c>
      <c r="J15" s="82"/>
      <c r="K15" s="73"/>
    </row>
    <row r="16" spans="1:11" ht="30">
      <c r="A16" s="73" t="s">
        <v>553</v>
      </c>
      <c r="B16" s="429">
        <f>B23*$B$6/B27*B14</f>
        <v>0.13754394902140937</v>
      </c>
      <c r="C16" s="429">
        <f>C23*$C$6/C27*C14</f>
        <v>3.5863311152248958E-2</v>
      </c>
      <c r="E16" s="429">
        <f>E23*$E$6/E27*E14</f>
        <v>0.26591830144139139</v>
      </c>
      <c r="F16" s="429">
        <f>F23*$F$6/F27*F14</f>
        <v>0.13041204055363256</v>
      </c>
      <c r="H16" s="429">
        <f>H23*$H$6/H27*H14</f>
        <v>0.60519337569420117</v>
      </c>
      <c r="I16" s="429">
        <f>I23*$I$6/I27*I14</f>
        <v>0.30580604665760008</v>
      </c>
      <c r="J16" s="82" t="s">
        <v>554</v>
      </c>
      <c r="K16" s="73"/>
    </row>
    <row r="17" spans="1:11">
      <c r="A17" s="73" t="s">
        <v>555</v>
      </c>
      <c r="B17" s="82">
        <v>1</v>
      </c>
      <c r="C17" s="82">
        <v>1</v>
      </c>
      <c r="E17" s="82">
        <v>2</v>
      </c>
      <c r="F17" s="82">
        <v>2</v>
      </c>
      <c r="H17" s="82">
        <v>1</v>
      </c>
      <c r="I17" s="82">
        <v>1</v>
      </c>
      <c r="J17" s="82"/>
      <c r="K17" s="73"/>
    </row>
    <row r="18" spans="1:11" ht="30">
      <c r="A18" s="70" t="s">
        <v>556</v>
      </c>
      <c r="B18" s="430">
        <v>0.2</v>
      </c>
      <c r="C18" s="430">
        <v>0.2</v>
      </c>
      <c r="E18" s="430">
        <v>0.2</v>
      </c>
      <c r="F18" s="430">
        <v>0.2</v>
      </c>
      <c r="H18" s="430">
        <v>1</v>
      </c>
      <c r="I18" s="430">
        <v>1</v>
      </c>
      <c r="J18" s="71" t="s">
        <v>554</v>
      </c>
      <c r="K18" s="70" t="s">
        <v>557</v>
      </c>
    </row>
    <row r="19" spans="1:11">
      <c r="A19" s="73" t="s">
        <v>558</v>
      </c>
      <c r="B19" s="431">
        <f>B18*B17</f>
        <v>0.2</v>
      </c>
      <c r="C19" s="431">
        <f>C18*C17</f>
        <v>0.2</v>
      </c>
      <c r="E19" s="431">
        <f>E18*E17</f>
        <v>0.4</v>
      </c>
      <c r="F19" s="431">
        <f>F18*F17</f>
        <v>0.4</v>
      </c>
      <c r="H19" s="431">
        <f>H18*H17</f>
        <v>1</v>
      </c>
      <c r="I19" s="431">
        <f>I18*I17</f>
        <v>1</v>
      </c>
      <c r="J19" s="82" t="s">
        <v>554</v>
      </c>
      <c r="K19" s="73"/>
    </row>
    <row r="20" spans="1:11" ht="30">
      <c r="A20" s="73" t="s">
        <v>559</v>
      </c>
      <c r="B20" s="82">
        <v>1</v>
      </c>
      <c r="C20" s="82">
        <v>1</v>
      </c>
      <c r="E20" s="82">
        <v>1</v>
      </c>
      <c r="F20" s="82">
        <v>1</v>
      </c>
      <c r="H20" s="82">
        <v>1</v>
      </c>
      <c r="I20" s="82">
        <v>1</v>
      </c>
      <c r="J20" s="82"/>
      <c r="K20" s="73" t="s">
        <v>560</v>
      </c>
    </row>
    <row r="21" spans="1:11">
      <c r="A21" s="73" t="s">
        <v>561</v>
      </c>
      <c r="B21" s="82">
        <v>1</v>
      </c>
      <c r="C21" s="82">
        <v>1</v>
      </c>
      <c r="E21" s="82">
        <v>1</v>
      </c>
      <c r="F21" s="82">
        <v>1</v>
      </c>
      <c r="H21" s="82">
        <v>1</v>
      </c>
      <c r="I21" s="82">
        <v>1</v>
      </c>
      <c r="J21" s="82"/>
      <c r="K21" s="73"/>
    </row>
    <row r="22" spans="1:11">
      <c r="A22" s="73" t="s">
        <v>562</v>
      </c>
      <c r="B22" s="82">
        <v>1</v>
      </c>
      <c r="C22" s="82">
        <v>1</v>
      </c>
      <c r="E22" s="82">
        <v>1</v>
      </c>
      <c r="F22" s="82">
        <v>1</v>
      </c>
      <c r="H22" s="82">
        <v>1</v>
      </c>
      <c r="I22" s="82">
        <v>1</v>
      </c>
      <c r="J22" s="82" t="s">
        <v>252</v>
      </c>
      <c r="K22" s="73"/>
    </row>
    <row r="23" spans="1:11" ht="30">
      <c r="A23" s="73" t="s">
        <v>563</v>
      </c>
      <c r="B23" s="82">
        <v>0.9</v>
      </c>
      <c r="C23" s="82">
        <v>0.8</v>
      </c>
      <c r="E23" s="82">
        <v>0.9</v>
      </c>
      <c r="F23" s="82">
        <v>0.8</v>
      </c>
      <c r="H23" s="82">
        <v>0.9</v>
      </c>
      <c r="I23" s="82">
        <v>0.9</v>
      </c>
      <c r="J23" s="82" t="s">
        <v>252</v>
      </c>
      <c r="K23" s="73" t="s">
        <v>564</v>
      </c>
    </row>
    <row r="24" spans="1:11">
      <c r="A24" s="73" t="s">
        <v>565</v>
      </c>
      <c r="B24" s="82">
        <v>0.4</v>
      </c>
      <c r="C24" s="82">
        <v>0.4</v>
      </c>
      <c r="E24" s="82">
        <v>0.4</v>
      </c>
      <c r="F24" s="82">
        <v>0.4</v>
      </c>
      <c r="H24" s="82">
        <v>0.4</v>
      </c>
      <c r="I24" s="82">
        <v>0.4</v>
      </c>
      <c r="J24" s="82" t="s">
        <v>252</v>
      </c>
      <c r="K24" s="73"/>
    </row>
    <row r="25" spans="1:11" ht="30">
      <c r="A25" s="73" t="s">
        <v>566</v>
      </c>
      <c r="B25" s="432">
        <f>23%*79%</f>
        <v>0.18170000000000003</v>
      </c>
      <c r="C25" s="432">
        <f>23%*79%</f>
        <v>0.18170000000000003</v>
      </c>
      <c r="E25" s="432">
        <f>23%*79%</f>
        <v>0.18170000000000003</v>
      </c>
      <c r="F25" s="432">
        <f>23%*79%</f>
        <v>0.18170000000000003</v>
      </c>
      <c r="H25" s="432">
        <f>23%*79%</f>
        <v>0.18170000000000003</v>
      </c>
      <c r="I25" s="432">
        <f>23%*79%</f>
        <v>0.18170000000000003</v>
      </c>
      <c r="J25" s="73" t="s">
        <v>567</v>
      </c>
      <c r="K25" s="70" t="s">
        <v>568</v>
      </c>
    </row>
    <row r="26" spans="1:11">
      <c r="A26" s="70" t="s">
        <v>569</v>
      </c>
      <c r="B26" s="70">
        <v>1.21</v>
      </c>
      <c r="C26" s="70">
        <v>1.21</v>
      </c>
      <c r="E26" s="70">
        <v>1.21</v>
      </c>
      <c r="F26" s="70">
        <v>1.21</v>
      </c>
      <c r="H26" s="70">
        <v>1.21</v>
      </c>
      <c r="I26" s="70">
        <v>1.21</v>
      </c>
      <c r="J26" s="70"/>
      <c r="K26" s="70"/>
    </row>
    <row r="27" spans="1:11">
      <c r="A27" s="70" t="s">
        <v>570</v>
      </c>
      <c r="B27" s="427">
        <f>B25*B26*1000</f>
        <v>219.85700000000003</v>
      </c>
      <c r="C27" s="427">
        <f>C25*C26*1000</f>
        <v>219.85700000000003</v>
      </c>
      <c r="E27" s="427">
        <f>E25*E26*1000</f>
        <v>219.85700000000003</v>
      </c>
      <c r="F27" s="427">
        <f>F25*F26*1000</f>
        <v>219.85700000000003</v>
      </c>
      <c r="H27" s="427">
        <f>H25*H26*1000</f>
        <v>219.85700000000003</v>
      </c>
      <c r="I27" s="427">
        <f>I25*I26*1000</f>
        <v>219.85700000000003</v>
      </c>
      <c r="J27" s="71" t="s">
        <v>571</v>
      </c>
      <c r="K27" s="70"/>
    </row>
    <row r="28" spans="1:11">
      <c r="A28" s="70"/>
      <c r="B28" s="430">
        <f>B27/1000</f>
        <v>0.21985700000000002</v>
      </c>
      <c r="C28" s="430">
        <f>C27/1000</f>
        <v>0.21985700000000002</v>
      </c>
      <c r="E28" s="430">
        <f>E27/1000</f>
        <v>0.21985700000000002</v>
      </c>
      <c r="F28" s="430">
        <f>F27/1000</f>
        <v>0.21985700000000002</v>
      </c>
      <c r="H28" s="430">
        <f>H27/1000</f>
        <v>0.21985700000000002</v>
      </c>
      <c r="I28" s="430">
        <f>I27/1000</f>
        <v>0.21985700000000002</v>
      </c>
      <c r="J28" s="71" t="s">
        <v>261</v>
      </c>
      <c r="K28" s="70"/>
    </row>
    <row r="29" spans="1:11" ht="30">
      <c r="A29" s="70" t="s">
        <v>572</v>
      </c>
      <c r="B29" s="433">
        <f>B22/1000/1000*(B$4*1000*1000)</f>
        <v>7.1999999999999993</v>
      </c>
      <c r="C29" s="433">
        <f>C22/1000/1000*(C$4*1000*1000)</f>
        <v>2.1120000000000001</v>
      </c>
      <c r="E29" s="433">
        <f>E22/1000/1000*(E$4*1000*1000)</f>
        <v>13.92</v>
      </c>
      <c r="F29" s="433">
        <f>F22/1000/1000*(F$4*1000*1000)</f>
        <v>7.68</v>
      </c>
      <c r="H29" s="433">
        <f>H22/1000/1000*(H$4*1000*1000)</f>
        <v>31.68</v>
      </c>
      <c r="I29" s="433">
        <f>I22/1000/1000*(I$4*1000*1000)</f>
        <v>16.007999999999999</v>
      </c>
      <c r="J29" s="71" t="s">
        <v>573</v>
      </c>
      <c r="K29" s="70"/>
    </row>
    <row r="30" spans="1:11">
      <c r="A30" s="70" t="s">
        <v>574</v>
      </c>
      <c r="B30" s="149">
        <f>B29/B27/B12*1000/24</f>
        <v>1.3645233037838229</v>
      </c>
      <c r="C30" s="149">
        <f>C29/C27/C12*1000/24</f>
        <v>0.4002601691099214</v>
      </c>
      <c r="D30" s="434"/>
      <c r="E30" s="149">
        <f>E29/E27/E12*1000/24</f>
        <v>2.638078387315391</v>
      </c>
      <c r="F30" s="149">
        <f>F29/F27/F12*1000/24</f>
        <v>1.455491524036078</v>
      </c>
      <c r="G30" s="434"/>
      <c r="H30" s="149">
        <f>H29/H27/H12*1000/24</f>
        <v>6.0039025366488206</v>
      </c>
      <c r="I30" s="149">
        <f>I29/I27/I12*1000/24</f>
        <v>3.0337901454126999</v>
      </c>
      <c r="J30" s="71" t="s">
        <v>575</v>
      </c>
      <c r="K30" s="70" t="s">
        <v>576</v>
      </c>
    </row>
    <row r="31" spans="1:11" ht="30">
      <c r="A31" s="70" t="s">
        <v>577</v>
      </c>
      <c r="B31" s="435">
        <f>B19*B27/(B23/1000/1000)/(B6*1000*1000)</f>
        <v>20.357129629629636</v>
      </c>
      <c r="C31" s="435">
        <f>C19*C27/(C23/1000/1000)/(C6*1000*1000)</f>
        <v>78.07421875</v>
      </c>
      <c r="E31" s="435">
        <f>E19*E27/(E23/1000/1000)/(E6*1000*1000)</f>
        <v>21.059099616858244</v>
      </c>
      <c r="F31" s="435">
        <f>F19*F27/(F23/1000/1000)/(F6*1000*1000)</f>
        <v>42.940820312500009</v>
      </c>
      <c r="H31" s="435">
        <f>H19*H27/(H23/1000/1000)/(H6*1000*1000)</f>
        <v>23.133101851851858</v>
      </c>
      <c r="I31" s="435">
        <f>I19*I27/(I23/1000/1000)/(I6*1000*1000)</f>
        <v>45.780651340996187</v>
      </c>
      <c r="J31" s="71" t="s">
        <v>549</v>
      </c>
      <c r="K31" s="70" t="s">
        <v>578</v>
      </c>
    </row>
    <row r="32" spans="1:11">
      <c r="A32" s="70" t="s">
        <v>579</v>
      </c>
      <c r="B32" s="435">
        <f>B19*B27/(B23/1000/1000)/($B$4*1000*1000)</f>
        <v>6.785709876543212</v>
      </c>
      <c r="C32" s="435">
        <f>C19*C27/(C23/1000/1000)/($B$4*1000*1000)</f>
        <v>7.6339236111111122</v>
      </c>
      <c r="E32" s="435">
        <f>E19*E27/(E23/1000/1000)/($B$4*1000*1000)</f>
        <v>13.571419753086424</v>
      </c>
      <c r="F32" s="435">
        <f>F19*F27/(F23/1000/1000)/($B$4*1000*1000)</f>
        <v>15.267847222222224</v>
      </c>
      <c r="H32" s="435">
        <f>H19*H27/(H23/1000/1000)/($H$4*1000*1000)</f>
        <v>7.7110339506172858</v>
      </c>
      <c r="I32" s="435">
        <f>I19*I27/(I23/1000/1000)/($H$4*1000*1000)</f>
        <v>7.7110339506172858</v>
      </c>
      <c r="J32" s="71" t="s">
        <v>549</v>
      </c>
      <c r="K32" s="70"/>
    </row>
    <row r="33" spans="1:11" ht="30">
      <c r="A33" s="70" t="s">
        <v>580</v>
      </c>
      <c r="B33" s="435">
        <f>B19*B27/(B22/1000/1000)/($B$4*1000*1000)</f>
        <v>6.1071388888888913</v>
      </c>
      <c r="C33" s="435">
        <f>C19*C27/(C22/1000/1000)/($B$4*1000*1000)</f>
        <v>6.1071388888888913</v>
      </c>
      <c r="E33" s="435">
        <f>E19*E27/(E22/1000/1000)/($B$4*1000*1000)</f>
        <v>12.214277777777783</v>
      </c>
      <c r="F33" s="435">
        <f>F19*F27/(F22/1000/1000)/($B$4*1000*1000)</f>
        <v>12.214277777777783</v>
      </c>
      <c r="H33" s="435">
        <f>H19*H27/(H22/1000/1000)/($H$4*1000*1000)</f>
        <v>6.9399305555555566</v>
      </c>
      <c r="I33" s="435">
        <f>I19*I27/(I22/1000/1000)/($H$4*1000*1000)</f>
        <v>6.9399305555555566</v>
      </c>
      <c r="J33" s="71" t="s">
        <v>549</v>
      </c>
      <c r="K33" s="70"/>
    </row>
    <row r="34" spans="1:11">
      <c r="A34" s="74"/>
      <c r="B34" s="72"/>
      <c r="C34" s="72"/>
      <c r="E34" s="72"/>
      <c r="F34" s="72"/>
      <c r="H34" s="436"/>
      <c r="I34" s="436"/>
      <c r="J34" s="74"/>
      <c r="K34" s="74"/>
    </row>
    <row r="35" spans="1:11">
      <c r="A35" s="70" t="s">
        <v>581</v>
      </c>
      <c r="B35" s="71">
        <v>1</v>
      </c>
      <c r="C35" s="71">
        <v>1</v>
      </c>
      <c r="E35" s="71">
        <v>1</v>
      </c>
      <c r="F35" s="71">
        <v>1</v>
      </c>
      <c r="H35" s="71">
        <v>1</v>
      </c>
      <c r="I35" s="71">
        <v>1</v>
      </c>
      <c r="J35" s="70"/>
      <c r="K35" s="70"/>
    </row>
    <row r="36" spans="1:11" ht="30">
      <c r="A36" s="70" t="s">
        <v>582</v>
      </c>
      <c r="B36" s="71">
        <v>24</v>
      </c>
      <c r="C36" s="71">
        <v>24</v>
      </c>
      <c r="E36" s="71">
        <v>24</v>
      </c>
      <c r="F36" s="71">
        <v>24</v>
      </c>
      <c r="H36" s="71">
        <v>24</v>
      </c>
      <c r="I36" s="71">
        <v>24</v>
      </c>
      <c r="J36" s="70" t="s">
        <v>583</v>
      </c>
      <c r="K36" s="70"/>
    </row>
    <row r="37" spans="1:11" ht="30">
      <c r="A37" s="70" t="s">
        <v>584</v>
      </c>
      <c r="B37" s="149">
        <f>B4*1000000*B22/1000000/B28</f>
        <v>32.748559290811755</v>
      </c>
      <c r="C37" s="149">
        <f>C4*1000000*C22/1000000/C28</f>
        <v>9.606244058638115</v>
      </c>
      <c r="E37" s="149">
        <f>E4*1000000*E22/1000000/E28</f>
        <v>63.313881295569388</v>
      </c>
      <c r="F37" s="149">
        <f>F4*1000000*F22/1000000/F28</f>
        <v>34.931796576865864</v>
      </c>
      <c r="H37" s="149">
        <f>H4*1000000*H22/1000000/H28</f>
        <v>144.0936608795717</v>
      </c>
      <c r="I37" s="149">
        <f>I4*1000000*I22/1000000/I28</f>
        <v>72.810963489904793</v>
      </c>
      <c r="J37" s="70" t="s">
        <v>213</v>
      </c>
      <c r="K37" s="70"/>
    </row>
    <row r="38" spans="1:11">
      <c r="A38" s="70" t="s">
        <v>585</v>
      </c>
      <c r="B38" s="71">
        <v>1</v>
      </c>
      <c r="C38" s="71">
        <v>1</v>
      </c>
      <c r="E38" s="71">
        <v>1</v>
      </c>
      <c r="F38" s="71">
        <v>1</v>
      </c>
      <c r="G38" s="158">
        <v>1</v>
      </c>
      <c r="H38" s="71">
        <v>1</v>
      </c>
      <c r="I38" s="71">
        <v>1</v>
      </c>
      <c r="J38" s="70"/>
      <c r="K38" s="70"/>
    </row>
    <row r="39" spans="1:11">
      <c r="A39" s="74"/>
      <c r="B39" s="72"/>
      <c r="C39" s="72"/>
      <c r="E39" s="72"/>
      <c r="F39" s="72"/>
      <c r="H39" s="72"/>
      <c r="I39" s="72"/>
      <c r="J39" s="74"/>
      <c r="K39" s="74"/>
    </row>
    <row r="40" spans="1:11">
      <c r="A40" s="70" t="s">
        <v>586</v>
      </c>
      <c r="B40" s="71">
        <v>1</v>
      </c>
      <c r="C40" s="71">
        <v>1</v>
      </c>
      <c r="E40" s="71">
        <v>1</v>
      </c>
      <c r="F40" s="71">
        <v>1</v>
      </c>
      <c r="H40" s="71">
        <v>1</v>
      </c>
      <c r="I40" s="71">
        <v>1</v>
      </c>
      <c r="J40" s="70"/>
      <c r="K40" s="70"/>
    </row>
    <row r="41" spans="1:11">
      <c r="A41" s="159" t="s">
        <v>587</v>
      </c>
      <c r="B41" s="437">
        <v>100</v>
      </c>
      <c r="C41" s="437">
        <v>100</v>
      </c>
      <c r="E41" s="437">
        <v>100</v>
      </c>
      <c r="F41" s="437">
        <v>100</v>
      </c>
      <c r="H41" s="437">
        <v>100</v>
      </c>
      <c r="I41" s="437">
        <v>100</v>
      </c>
      <c r="J41" s="159"/>
      <c r="K41" s="159"/>
    </row>
    <row r="42" spans="1:11" ht="30">
      <c r="A42" s="70" t="s">
        <v>588</v>
      </c>
      <c r="B42" s="435">
        <f>B41*B30</f>
        <v>136.4523303783823</v>
      </c>
      <c r="C42" s="435">
        <f>C41*C30</f>
        <v>40.026016910992141</v>
      </c>
      <c r="D42" s="60"/>
      <c r="E42" s="435">
        <f>E41*E30</f>
        <v>263.80783873153911</v>
      </c>
      <c r="F42" s="435">
        <f>F41*F30</f>
        <v>145.54915240360779</v>
      </c>
      <c r="G42" s="60"/>
      <c r="H42" s="435">
        <f>H41*H30</f>
        <v>600.39025366488204</v>
      </c>
      <c r="I42" s="435">
        <f>I41*I30</f>
        <v>303.37901454127001</v>
      </c>
      <c r="J42" s="70" t="s">
        <v>575</v>
      </c>
      <c r="K42" s="70" t="s">
        <v>589</v>
      </c>
    </row>
    <row r="43" spans="1:11">
      <c r="A43" s="70"/>
      <c r="B43" s="433">
        <f>B42/60/60</f>
        <v>3.7903425105106199E-2</v>
      </c>
      <c r="C43" s="433">
        <f>C42/60/60</f>
        <v>1.111833803083115E-2</v>
      </c>
      <c r="D43" s="60"/>
      <c r="E43" s="433">
        <f>E42/60/60</f>
        <v>7.3279955203205308E-2</v>
      </c>
      <c r="F43" s="433">
        <f>F42/60/60</f>
        <v>4.0430320112113276E-2</v>
      </c>
      <c r="G43" s="60"/>
      <c r="H43" s="433">
        <f>H42/60/60</f>
        <v>0.16677507046246723</v>
      </c>
      <c r="I43" s="433">
        <f>I42/60/60</f>
        <v>8.4271948483686104E-2</v>
      </c>
      <c r="J43" s="70" t="s">
        <v>243</v>
      </c>
      <c r="K43" s="70"/>
    </row>
    <row r="44" spans="1:11">
      <c r="A44" s="74"/>
      <c r="B44" s="72"/>
      <c r="C44" s="72"/>
      <c r="E44" s="72"/>
      <c r="F44" s="72"/>
      <c r="H44" s="72"/>
      <c r="I44" s="72"/>
      <c r="J44" s="74"/>
      <c r="K44" s="74"/>
    </row>
    <row r="45" spans="1:11">
      <c r="A45" s="74"/>
      <c r="B45" s="72"/>
      <c r="C45" s="72"/>
      <c r="E45" s="72"/>
      <c r="F45" s="72"/>
      <c r="H45" s="72"/>
      <c r="I45" s="72"/>
      <c r="J45" s="74"/>
      <c r="K45" s="74"/>
    </row>
  </sheetData>
  <sheetProtection algorithmName="SHA-512" hashValue="VD+mMEmLkIpEEMHlwOtampRYHvRvq06nVcYn1x7u74mXlHOVD08M17OcALub6yvWEbxfLuTbnv5k5TnOqMxZNg==" saltValue="VmTXxo0Fyao4C8ipX/yzjg==" spinCount="100000" sheet="1" objects="1" scenarios="1"/>
  <mergeCells count="6">
    <mergeCell ref="B3:C3"/>
    <mergeCell ref="E3:F3"/>
    <mergeCell ref="H3:I3"/>
    <mergeCell ref="B11:C11"/>
    <mergeCell ref="E11:F11"/>
    <mergeCell ref="H11:I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B339-96C9-4555-A8CA-FF7D5D88252C}">
  <sheetPr>
    <outlinePr summaryBelow="0" summaryRight="0"/>
    <pageSetUpPr fitToPage="1"/>
  </sheetPr>
  <dimension ref="A1:AH58"/>
  <sheetViews>
    <sheetView topLeftCell="B1" workbookViewId="0">
      <selection activeCell="C10" sqref="C10"/>
    </sheetView>
  </sheetViews>
  <sheetFormatPr defaultRowHeight="15" outlineLevelRow="1"/>
  <cols>
    <col min="1" max="1" width="3" bestFit="1" customWidth="1"/>
    <col min="2" max="2" width="17.42578125" customWidth="1"/>
    <col min="3" max="4" width="32.140625" customWidth="1"/>
    <col min="5" max="5" width="8.85546875" customWidth="1"/>
    <col min="6" max="6" width="15.5703125" customWidth="1"/>
    <col min="7" max="7" width="5.5703125" style="16" customWidth="1"/>
    <col min="8" max="8" width="42.140625" style="14" customWidth="1"/>
    <col min="9" max="10" width="6.5703125" customWidth="1"/>
    <col min="11" max="12" width="8.85546875" style="16" customWidth="1"/>
    <col min="13" max="13" width="15.5703125" style="22" customWidth="1"/>
    <col min="14" max="15" width="8.85546875" style="16" customWidth="1"/>
    <col min="16" max="16" width="9" style="16" bestFit="1" customWidth="1"/>
    <col min="17" max="17" width="28" style="43" customWidth="1"/>
    <col min="18" max="19" width="8.85546875" style="16" customWidth="1"/>
    <col min="20" max="21" width="11.5703125" style="16" customWidth="1"/>
    <col min="22" max="22" width="11.42578125" style="16" customWidth="1"/>
    <col min="23" max="25" width="11.5703125" style="16" customWidth="1"/>
    <col min="26" max="27" width="12.5703125" style="16" customWidth="1"/>
    <col min="28" max="28" width="11.5703125" style="16" customWidth="1"/>
    <col min="29" max="30" width="11.5703125" style="16" hidden="1" customWidth="1"/>
    <col min="31" max="31" width="20.85546875" style="16" customWidth="1"/>
    <col min="32" max="32" width="11.5703125" style="16" customWidth="1"/>
    <col min="33" max="33" width="44" style="52" customWidth="1"/>
    <col min="34" max="34" width="45.5703125" customWidth="1"/>
  </cols>
  <sheetData>
    <row r="1" spans="1:34" ht="30" customHeight="1" collapsed="1" thickBot="1">
      <c r="B1" s="39" t="s">
        <v>590</v>
      </c>
    </row>
    <row r="2" spans="1:34" s="53" customFormat="1" ht="125.45" hidden="1" customHeight="1" outlineLevel="1" thickBot="1">
      <c r="B2" s="134" t="s">
        <v>591</v>
      </c>
      <c r="C2" s="134"/>
      <c r="D2" s="134"/>
      <c r="E2" s="138"/>
      <c r="F2" s="138"/>
      <c r="G2" s="134"/>
      <c r="H2" s="139"/>
      <c r="I2" s="138"/>
      <c r="J2" s="138"/>
      <c r="K2" s="140"/>
      <c r="L2" s="140"/>
      <c r="M2" s="141"/>
      <c r="N2" s="140"/>
      <c r="O2" s="140"/>
      <c r="P2" s="134"/>
      <c r="Q2" s="141"/>
      <c r="R2" s="140"/>
      <c r="S2" s="140"/>
      <c r="T2" s="140"/>
      <c r="U2" s="134" t="s">
        <v>592</v>
      </c>
      <c r="V2" s="134" t="s">
        <v>593</v>
      </c>
      <c r="W2" s="134"/>
      <c r="X2" s="134" t="s">
        <v>594</v>
      </c>
      <c r="Y2" s="134" t="s">
        <v>595</v>
      </c>
      <c r="Z2" s="134" t="s">
        <v>596</v>
      </c>
      <c r="AA2" s="134" t="s">
        <v>597</v>
      </c>
      <c r="AB2" s="134" t="s">
        <v>598</v>
      </c>
      <c r="AC2" s="92"/>
      <c r="AD2" s="92"/>
      <c r="AE2" s="134" t="s">
        <v>599</v>
      </c>
      <c r="AF2" s="134"/>
      <c r="AG2" s="94"/>
      <c r="AH2" s="91"/>
    </row>
    <row r="3" spans="1:34" ht="77.25" thickBot="1">
      <c r="A3" s="130" t="s">
        <v>600</v>
      </c>
      <c r="B3" s="146" t="s">
        <v>601</v>
      </c>
      <c r="C3" s="146" t="s">
        <v>602</v>
      </c>
      <c r="D3" s="146" t="s">
        <v>603</v>
      </c>
      <c r="E3" s="146" t="s">
        <v>604</v>
      </c>
      <c r="F3" s="146" t="s">
        <v>605</v>
      </c>
      <c r="G3" s="146" t="s">
        <v>606</v>
      </c>
      <c r="H3" s="146" t="s">
        <v>607</v>
      </c>
      <c r="I3" s="146" t="s">
        <v>608</v>
      </c>
      <c r="J3" s="146" t="s">
        <v>609</v>
      </c>
      <c r="K3" s="146" t="s">
        <v>610</v>
      </c>
      <c r="L3" s="146" t="s">
        <v>611</v>
      </c>
      <c r="M3" s="146" t="s">
        <v>612</v>
      </c>
      <c r="N3" s="146" t="s">
        <v>613</v>
      </c>
      <c r="O3" s="135" t="s">
        <v>614</v>
      </c>
      <c r="P3" s="132" t="s">
        <v>615</v>
      </c>
      <c r="Q3" s="146" t="s">
        <v>616</v>
      </c>
      <c r="R3" s="131" t="s">
        <v>617</v>
      </c>
      <c r="S3" s="131" t="s">
        <v>618</v>
      </c>
      <c r="T3" s="133" t="s">
        <v>619</v>
      </c>
      <c r="U3" s="130" t="s">
        <v>620</v>
      </c>
      <c r="V3" s="131" t="s">
        <v>621</v>
      </c>
      <c r="W3" s="131" t="s">
        <v>222</v>
      </c>
      <c r="X3" s="131" t="s">
        <v>622</v>
      </c>
      <c r="Y3" s="131" t="s">
        <v>623</v>
      </c>
      <c r="Z3" s="131" t="s">
        <v>624</v>
      </c>
      <c r="AA3" s="135" t="s">
        <v>625</v>
      </c>
      <c r="AB3" s="133" t="s">
        <v>626</v>
      </c>
      <c r="AC3" s="124" t="s">
        <v>627</v>
      </c>
      <c r="AD3" s="122" t="s">
        <v>628</v>
      </c>
      <c r="AE3" s="130" t="s">
        <v>629</v>
      </c>
      <c r="AF3" s="131" t="s">
        <v>630</v>
      </c>
      <c r="AG3" s="57" t="s">
        <v>631</v>
      </c>
      <c r="AH3" s="123" t="s">
        <v>159</v>
      </c>
    </row>
    <row r="4" spans="1:34" ht="51">
      <c r="A4" s="125">
        <f>1</f>
        <v>1</v>
      </c>
      <c r="B4" s="126" t="s">
        <v>632</v>
      </c>
      <c r="C4" s="127" t="s">
        <v>161</v>
      </c>
      <c r="D4" s="127" t="s">
        <v>124</v>
      </c>
      <c r="E4" s="127" t="s">
        <v>633</v>
      </c>
      <c r="F4" s="127" t="s">
        <v>634</v>
      </c>
      <c r="G4" s="128">
        <v>1</v>
      </c>
      <c r="H4" s="142" t="s">
        <v>635</v>
      </c>
      <c r="I4" s="143" t="s">
        <v>636</v>
      </c>
      <c r="J4" s="143"/>
      <c r="K4" s="128">
        <v>2</v>
      </c>
      <c r="L4" s="128" t="s">
        <v>637</v>
      </c>
      <c r="M4" s="144"/>
      <c r="N4" s="128">
        <v>377</v>
      </c>
      <c r="O4" s="128">
        <v>350</v>
      </c>
      <c r="P4" s="128">
        <v>350</v>
      </c>
      <c r="Q4" s="145"/>
      <c r="R4" s="128">
        <f>O4*1000*24/1000000</f>
        <v>8.4</v>
      </c>
      <c r="S4" s="128">
        <f>P4*1000*24/1000000</f>
        <v>8.4</v>
      </c>
      <c r="T4" s="128"/>
      <c r="U4" s="129" t="s">
        <v>638</v>
      </c>
      <c r="V4" s="129" t="s">
        <v>639</v>
      </c>
      <c r="W4" s="129" t="s">
        <v>640</v>
      </c>
      <c r="X4" s="129" t="s">
        <v>641</v>
      </c>
      <c r="Y4" s="129" t="s">
        <v>639</v>
      </c>
      <c r="Z4" s="129" t="s">
        <v>639</v>
      </c>
      <c r="AA4" s="129" t="str">
        <f>IF(B4="North West","Yes","No")</f>
        <v>Yes</v>
      </c>
      <c r="AB4" s="129" t="s">
        <v>641</v>
      </c>
      <c r="AC4" s="84">
        <v>9</v>
      </c>
      <c r="AD4" s="84">
        <v>300</v>
      </c>
      <c r="AE4" s="129" t="s">
        <v>640</v>
      </c>
      <c r="AF4" s="129" t="s">
        <v>640</v>
      </c>
      <c r="AG4" s="85" t="s">
        <v>642</v>
      </c>
      <c r="AH4" s="85" t="s">
        <v>643</v>
      </c>
    </row>
    <row r="5" spans="1:34" ht="25.5">
      <c r="A5" s="17">
        <f>A4+1</f>
        <v>2</v>
      </c>
      <c r="B5" s="3" t="s">
        <v>632</v>
      </c>
      <c r="C5" s="2" t="s">
        <v>162</v>
      </c>
      <c r="D5" s="127" t="s">
        <v>124</v>
      </c>
      <c r="E5" s="2" t="s">
        <v>644</v>
      </c>
      <c r="F5" s="2" t="s">
        <v>634</v>
      </c>
      <c r="G5" s="15">
        <v>1</v>
      </c>
      <c r="H5" s="12" t="s">
        <v>635</v>
      </c>
      <c r="I5" s="4" t="s">
        <v>636</v>
      </c>
      <c r="J5" s="4"/>
      <c r="K5" s="15">
        <v>2</v>
      </c>
      <c r="L5" s="15" t="s">
        <v>637</v>
      </c>
      <c r="M5" s="13"/>
      <c r="N5" s="15">
        <v>374</v>
      </c>
      <c r="O5" s="15">
        <v>374</v>
      </c>
      <c r="P5" s="15">
        <v>374</v>
      </c>
      <c r="Q5" s="44"/>
      <c r="R5" s="15">
        <f t="shared" ref="R5:S48" si="0">O5*1000*24/1000000</f>
        <v>8.9760000000000009</v>
      </c>
      <c r="S5" s="15">
        <f t="shared" si="0"/>
        <v>8.9760000000000009</v>
      </c>
      <c r="T5" s="15"/>
      <c r="U5" s="84" t="s">
        <v>638</v>
      </c>
      <c r="V5" s="84" t="s">
        <v>639</v>
      </c>
      <c r="W5" s="129" t="s">
        <v>640</v>
      </c>
      <c r="X5" s="84" t="s">
        <v>641</v>
      </c>
      <c r="Y5" s="84" t="s">
        <v>639</v>
      </c>
      <c r="Z5" s="84" t="s">
        <v>331</v>
      </c>
      <c r="AA5" s="129" t="str">
        <f>IF(B5="North West","Yes","No")</f>
        <v>Yes</v>
      </c>
      <c r="AB5" s="84" t="s">
        <v>641</v>
      </c>
      <c r="AC5" s="84">
        <v>7.4</v>
      </c>
      <c r="AD5" s="84">
        <v>375</v>
      </c>
      <c r="AE5" s="84" t="s">
        <v>640</v>
      </c>
      <c r="AF5" s="84" t="s">
        <v>640</v>
      </c>
      <c r="AG5" s="85" t="s">
        <v>645</v>
      </c>
      <c r="AH5" s="85"/>
    </row>
    <row r="6" spans="1:34" ht="38.25">
      <c r="A6" s="17">
        <f>A5+1</f>
        <v>3</v>
      </c>
      <c r="B6" s="3" t="s">
        <v>632</v>
      </c>
      <c r="C6" s="2" t="s">
        <v>163</v>
      </c>
      <c r="D6" s="127" t="s">
        <v>124</v>
      </c>
      <c r="E6" s="2" t="s">
        <v>646</v>
      </c>
      <c r="F6" s="2" t="s">
        <v>634</v>
      </c>
      <c r="G6" s="15">
        <v>3</v>
      </c>
      <c r="H6" s="12" t="s">
        <v>647</v>
      </c>
      <c r="I6" s="4" t="s">
        <v>636</v>
      </c>
      <c r="J6" s="4"/>
      <c r="K6" s="15">
        <v>2</v>
      </c>
      <c r="L6" s="15">
        <v>1</v>
      </c>
      <c r="M6" s="13">
        <v>200</v>
      </c>
      <c r="N6" s="15">
        <v>261</v>
      </c>
      <c r="O6" s="15">
        <v>380</v>
      </c>
      <c r="P6" s="15">
        <v>380</v>
      </c>
      <c r="Q6" s="33" t="s">
        <v>648</v>
      </c>
      <c r="R6" s="15">
        <f t="shared" si="0"/>
        <v>9.1199999999999992</v>
      </c>
      <c r="S6" s="15">
        <f t="shared" si="0"/>
        <v>9.1199999999999992</v>
      </c>
      <c r="T6" s="15"/>
      <c r="U6" s="84" t="s">
        <v>638</v>
      </c>
      <c r="V6" s="84" t="s">
        <v>649</v>
      </c>
      <c r="W6" s="129" t="s">
        <v>640</v>
      </c>
      <c r="X6" s="84" t="s">
        <v>640</v>
      </c>
      <c r="Y6" s="84" t="s">
        <v>89</v>
      </c>
      <c r="Z6" s="84" t="s">
        <v>331</v>
      </c>
      <c r="AA6" s="129" t="s">
        <v>641</v>
      </c>
      <c r="AB6" s="84" t="s">
        <v>640</v>
      </c>
      <c r="AC6" s="84">
        <v>27</v>
      </c>
      <c r="AD6" s="84">
        <v>300</v>
      </c>
      <c r="AE6" s="84" t="s">
        <v>641</v>
      </c>
      <c r="AF6" s="84" t="s">
        <v>640</v>
      </c>
      <c r="AG6" s="85" t="s">
        <v>650</v>
      </c>
      <c r="AH6" s="85"/>
    </row>
    <row r="7" spans="1:34" ht="25.5">
      <c r="A7" s="17">
        <f>A6+1</f>
        <v>4</v>
      </c>
      <c r="B7" s="3" t="s">
        <v>632</v>
      </c>
      <c r="C7" s="2" t="s">
        <v>164</v>
      </c>
      <c r="D7" s="127" t="s">
        <v>124</v>
      </c>
      <c r="E7" s="2" t="s">
        <v>651</v>
      </c>
      <c r="F7" s="2" t="s">
        <v>634</v>
      </c>
      <c r="G7" s="15">
        <v>1</v>
      </c>
      <c r="H7" s="12" t="s">
        <v>635</v>
      </c>
      <c r="I7" s="4" t="s">
        <v>636</v>
      </c>
      <c r="J7" s="4"/>
      <c r="K7" s="15">
        <v>6</v>
      </c>
      <c r="L7" s="15" t="s">
        <v>637</v>
      </c>
      <c r="M7" s="13"/>
      <c r="N7" s="15">
        <v>779</v>
      </c>
      <c r="O7" s="15">
        <v>845</v>
      </c>
      <c r="P7" s="15">
        <v>845</v>
      </c>
      <c r="Q7" s="33"/>
      <c r="R7" s="15">
        <f t="shared" si="0"/>
        <v>20.28</v>
      </c>
      <c r="S7" s="15">
        <f t="shared" si="0"/>
        <v>20.28</v>
      </c>
      <c r="T7" s="15"/>
      <c r="U7" s="84" t="s">
        <v>652</v>
      </c>
      <c r="V7" s="84" t="s">
        <v>639</v>
      </c>
      <c r="W7" s="129" t="s">
        <v>640</v>
      </c>
      <c r="X7" s="84" t="s">
        <v>641</v>
      </c>
      <c r="Y7" s="84" t="s">
        <v>639</v>
      </c>
      <c r="Z7" s="84" t="s">
        <v>653</v>
      </c>
      <c r="AA7" s="129" t="s">
        <v>641</v>
      </c>
      <c r="AB7" s="84" t="s">
        <v>640</v>
      </c>
      <c r="AC7" s="84">
        <v>18</v>
      </c>
      <c r="AD7" s="84">
        <v>300</v>
      </c>
      <c r="AE7" s="84" t="s">
        <v>641</v>
      </c>
      <c r="AF7" s="84" t="s">
        <v>640</v>
      </c>
      <c r="AG7" s="85" t="s">
        <v>654</v>
      </c>
      <c r="AH7" s="85" t="s">
        <v>655</v>
      </c>
    </row>
    <row r="8" spans="1:34" ht="76.5">
      <c r="A8" s="17">
        <f>A7+1</f>
        <v>5</v>
      </c>
      <c r="B8" s="3" t="s">
        <v>632</v>
      </c>
      <c r="C8" s="2" t="s">
        <v>165</v>
      </c>
      <c r="D8" s="127" t="s">
        <v>124</v>
      </c>
      <c r="E8" s="2" t="s">
        <v>656</v>
      </c>
      <c r="F8" s="2" t="s">
        <v>634</v>
      </c>
      <c r="G8" s="15">
        <v>1</v>
      </c>
      <c r="H8" s="12" t="s">
        <v>635</v>
      </c>
      <c r="I8" s="4" t="s">
        <v>636</v>
      </c>
      <c r="J8" s="4"/>
      <c r="K8" s="15">
        <v>3</v>
      </c>
      <c r="L8" s="15" t="s">
        <v>637</v>
      </c>
      <c r="M8" s="13"/>
      <c r="N8" s="15">
        <v>512</v>
      </c>
      <c r="O8" s="15">
        <v>512</v>
      </c>
      <c r="P8" s="15">
        <v>512</v>
      </c>
      <c r="Q8" s="44"/>
      <c r="R8" s="15">
        <f t="shared" si="0"/>
        <v>12.288</v>
      </c>
      <c r="S8" s="15">
        <f t="shared" si="0"/>
        <v>12.288</v>
      </c>
      <c r="T8" s="15"/>
      <c r="U8" s="84" t="s">
        <v>638</v>
      </c>
      <c r="V8" s="84" t="s">
        <v>649</v>
      </c>
      <c r="W8" s="129" t="s">
        <v>640</v>
      </c>
      <c r="X8" s="84" t="s">
        <v>640</v>
      </c>
      <c r="Y8" s="84" t="s">
        <v>639</v>
      </c>
      <c r="Z8" s="84" t="s">
        <v>653</v>
      </c>
      <c r="AA8" s="129" t="s">
        <v>641</v>
      </c>
      <c r="AB8" s="84" t="s">
        <v>641</v>
      </c>
      <c r="AC8" s="84" t="s">
        <v>657</v>
      </c>
      <c r="AD8" s="84">
        <v>300</v>
      </c>
      <c r="AE8" s="84" t="s">
        <v>641</v>
      </c>
      <c r="AF8" s="84" t="s">
        <v>640</v>
      </c>
      <c r="AG8" s="85" t="s">
        <v>658</v>
      </c>
      <c r="AH8" s="85" t="s">
        <v>659</v>
      </c>
    </row>
    <row r="9" spans="1:34" ht="25.5">
      <c r="A9" s="17">
        <f t="shared" ref="A9:A20" si="1">A8+1</f>
        <v>6</v>
      </c>
      <c r="B9" s="3" t="s">
        <v>632</v>
      </c>
      <c r="C9" s="2" t="s">
        <v>166</v>
      </c>
      <c r="D9" s="127" t="s">
        <v>124</v>
      </c>
      <c r="E9" s="2" t="s">
        <v>660</v>
      </c>
      <c r="F9" s="2" t="s">
        <v>634</v>
      </c>
      <c r="G9" s="15">
        <v>1</v>
      </c>
      <c r="H9" s="12" t="s">
        <v>635</v>
      </c>
      <c r="I9" s="4" t="s">
        <v>636</v>
      </c>
      <c r="J9" s="4"/>
      <c r="K9" s="15">
        <v>5</v>
      </c>
      <c r="L9" s="15" t="s">
        <v>637</v>
      </c>
      <c r="M9" s="13"/>
      <c r="N9" s="15">
        <v>918.55681666666692</v>
      </c>
      <c r="O9" s="15">
        <v>918.55681666666692</v>
      </c>
      <c r="P9" s="15">
        <v>918.55681666666692</v>
      </c>
      <c r="Q9" s="44"/>
      <c r="R9" s="15">
        <f t="shared" si="0"/>
        <v>22.045363600000005</v>
      </c>
      <c r="S9" s="15">
        <f t="shared" si="0"/>
        <v>22.045363600000005</v>
      </c>
      <c r="T9" s="15"/>
      <c r="U9" s="84" t="s">
        <v>638</v>
      </c>
      <c r="V9" s="84" t="s">
        <v>639</v>
      </c>
      <c r="W9" s="129" t="s">
        <v>640</v>
      </c>
      <c r="X9" s="84" t="s">
        <v>641</v>
      </c>
      <c r="Y9" s="84" t="s">
        <v>639</v>
      </c>
      <c r="Z9" s="84" t="s">
        <v>331</v>
      </c>
      <c r="AA9" s="129" t="s">
        <v>641</v>
      </c>
      <c r="AB9" s="84" t="s">
        <v>640</v>
      </c>
      <c r="AC9" s="84">
        <v>7</v>
      </c>
      <c r="AD9" s="84">
        <v>300</v>
      </c>
      <c r="AE9" s="84" t="s">
        <v>640</v>
      </c>
      <c r="AF9" s="84" t="s">
        <v>640</v>
      </c>
      <c r="AG9" s="85" t="s">
        <v>661</v>
      </c>
      <c r="AH9" s="85"/>
    </row>
    <row r="10" spans="1:34" ht="38.25">
      <c r="A10" s="17">
        <f t="shared" si="1"/>
        <v>7</v>
      </c>
      <c r="B10" s="3" t="s">
        <v>632</v>
      </c>
      <c r="C10" s="2" t="s">
        <v>167</v>
      </c>
      <c r="D10" s="127" t="s">
        <v>124</v>
      </c>
      <c r="E10" s="2" t="s">
        <v>662</v>
      </c>
      <c r="F10" s="2" t="s">
        <v>634</v>
      </c>
      <c r="G10" s="15">
        <v>2</v>
      </c>
      <c r="H10" s="12" t="s">
        <v>663</v>
      </c>
      <c r="I10" s="5" t="s">
        <v>640</v>
      </c>
      <c r="J10" s="5"/>
      <c r="K10" s="15">
        <v>3</v>
      </c>
      <c r="L10" s="15">
        <v>3</v>
      </c>
      <c r="M10" s="24" t="s">
        <v>664</v>
      </c>
      <c r="N10" s="15">
        <v>430</v>
      </c>
      <c r="O10" s="15">
        <v>430</v>
      </c>
      <c r="P10" s="15">
        <v>450</v>
      </c>
      <c r="Q10" s="44"/>
      <c r="R10" s="15">
        <f t="shared" si="0"/>
        <v>10.32</v>
      </c>
      <c r="S10" s="15">
        <f t="shared" si="0"/>
        <v>10.8</v>
      </c>
      <c r="T10" s="15" t="s">
        <v>640</v>
      </c>
      <c r="U10" s="84" t="s">
        <v>638</v>
      </c>
      <c r="V10" s="84" t="s">
        <v>639</v>
      </c>
      <c r="W10" s="129" t="s">
        <v>640</v>
      </c>
      <c r="X10" s="84" t="s">
        <v>640</v>
      </c>
      <c r="Y10" s="84" t="s">
        <v>639</v>
      </c>
      <c r="Z10" s="84" t="s">
        <v>331</v>
      </c>
      <c r="AA10" s="129" t="s">
        <v>641</v>
      </c>
      <c r="AB10" s="84" t="s">
        <v>641</v>
      </c>
      <c r="AC10" s="84">
        <v>14</v>
      </c>
      <c r="AD10" s="86">
        <v>225</v>
      </c>
      <c r="AE10" s="84" t="s">
        <v>641</v>
      </c>
      <c r="AF10" s="84" t="s">
        <v>640</v>
      </c>
      <c r="AG10" s="85" t="s">
        <v>665</v>
      </c>
      <c r="AH10" s="85"/>
    </row>
    <row r="11" spans="1:34" s="1" customFormat="1" ht="25.5">
      <c r="A11" s="17">
        <f t="shared" si="1"/>
        <v>8</v>
      </c>
      <c r="B11" s="3" t="s">
        <v>632</v>
      </c>
      <c r="C11" s="2" t="s">
        <v>168</v>
      </c>
      <c r="D11" s="127" t="s">
        <v>124</v>
      </c>
      <c r="E11" s="2" t="s">
        <v>666</v>
      </c>
      <c r="F11" s="2" t="s">
        <v>634</v>
      </c>
      <c r="G11" s="20">
        <v>2</v>
      </c>
      <c r="H11" s="27" t="s">
        <v>663</v>
      </c>
      <c r="I11" s="21" t="s">
        <v>640</v>
      </c>
      <c r="J11" s="21">
        <v>450</v>
      </c>
      <c r="K11" s="20">
        <v>4</v>
      </c>
      <c r="L11" s="20">
        <v>2</v>
      </c>
      <c r="M11" s="25" t="s">
        <v>667</v>
      </c>
      <c r="N11" s="20">
        <v>246</v>
      </c>
      <c r="O11" s="20">
        <v>246</v>
      </c>
      <c r="P11" s="20">
        <v>500</v>
      </c>
      <c r="Q11" s="45" t="s">
        <v>668</v>
      </c>
      <c r="R11" s="20">
        <f t="shared" si="0"/>
        <v>5.9039999999999999</v>
      </c>
      <c r="S11" s="15">
        <f t="shared" si="0"/>
        <v>12</v>
      </c>
      <c r="T11" s="20"/>
      <c r="U11" s="84" t="s">
        <v>638</v>
      </c>
      <c r="V11" s="84" t="s">
        <v>649</v>
      </c>
      <c r="W11" s="129" t="s">
        <v>640</v>
      </c>
      <c r="X11" s="84" t="s">
        <v>641</v>
      </c>
      <c r="Y11" s="84" t="s">
        <v>639</v>
      </c>
      <c r="Z11" s="84" t="s">
        <v>653</v>
      </c>
      <c r="AA11" s="129" t="s">
        <v>641</v>
      </c>
      <c r="AB11" s="84" t="s">
        <v>641</v>
      </c>
      <c r="AC11" s="84">
        <v>15</v>
      </c>
      <c r="AD11" s="84">
        <v>300</v>
      </c>
      <c r="AE11" s="84" t="s">
        <v>669</v>
      </c>
      <c r="AF11" s="84" t="s">
        <v>640</v>
      </c>
      <c r="AG11" s="85" t="s">
        <v>670</v>
      </c>
      <c r="AH11" s="85"/>
    </row>
    <row r="12" spans="1:34" ht="38.25">
      <c r="A12" s="17">
        <f t="shared" si="1"/>
        <v>9</v>
      </c>
      <c r="B12" s="3" t="s">
        <v>632</v>
      </c>
      <c r="C12" s="2" t="s">
        <v>169</v>
      </c>
      <c r="D12" s="127" t="s">
        <v>124</v>
      </c>
      <c r="E12" s="2" t="s">
        <v>671</v>
      </c>
      <c r="F12" s="2" t="s">
        <v>634</v>
      </c>
      <c r="G12" s="15">
        <v>1</v>
      </c>
      <c r="H12" s="12" t="s">
        <v>635</v>
      </c>
      <c r="I12" s="4" t="s">
        <v>636</v>
      </c>
      <c r="J12" s="4"/>
      <c r="K12" s="15">
        <v>2</v>
      </c>
      <c r="L12" s="15" t="s">
        <v>637</v>
      </c>
      <c r="M12" s="13"/>
      <c r="N12" s="15">
        <v>535</v>
      </c>
      <c r="O12" s="15">
        <v>0</v>
      </c>
      <c r="P12" s="15">
        <v>424.8</v>
      </c>
      <c r="Q12" s="33" t="s">
        <v>672</v>
      </c>
      <c r="R12" s="15">
        <f t="shared" si="0"/>
        <v>0</v>
      </c>
      <c r="S12" s="15">
        <f t="shared" si="0"/>
        <v>10.1952</v>
      </c>
      <c r="T12" s="15"/>
      <c r="U12" s="84" t="s">
        <v>638</v>
      </c>
      <c r="V12" s="84" t="s">
        <v>639</v>
      </c>
      <c r="W12" s="129" t="s">
        <v>640</v>
      </c>
      <c r="X12" s="84" t="s">
        <v>640</v>
      </c>
      <c r="Y12" s="84" t="s">
        <v>89</v>
      </c>
      <c r="Z12" s="84" t="s">
        <v>331</v>
      </c>
      <c r="AA12" s="129" t="s">
        <v>641</v>
      </c>
      <c r="AB12" s="84" t="s">
        <v>641</v>
      </c>
      <c r="AC12" s="84">
        <v>8</v>
      </c>
      <c r="AD12" s="84">
        <v>200</v>
      </c>
      <c r="AE12" s="84" t="s">
        <v>641</v>
      </c>
      <c r="AF12" s="84" t="s">
        <v>640</v>
      </c>
      <c r="AG12" s="85" t="s">
        <v>673</v>
      </c>
      <c r="AH12" s="85" t="s">
        <v>643</v>
      </c>
    </row>
    <row r="13" spans="1:34">
      <c r="A13" s="17">
        <f t="shared" si="1"/>
        <v>10</v>
      </c>
      <c r="B13" s="3" t="s">
        <v>632</v>
      </c>
      <c r="C13" s="2" t="s">
        <v>170</v>
      </c>
      <c r="D13" s="127" t="s">
        <v>124</v>
      </c>
      <c r="E13" s="2" t="s">
        <v>674</v>
      </c>
      <c r="F13" s="2" t="s">
        <v>634</v>
      </c>
      <c r="G13" s="15">
        <v>1</v>
      </c>
      <c r="H13" s="12" t="s">
        <v>635</v>
      </c>
      <c r="I13" s="4" t="s">
        <v>636</v>
      </c>
      <c r="J13" s="4"/>
      <c r="K13" s="15">
        <v>2</v>
      </c>
      <c r="L13" s="15" t="s">
        <v>637</v>
      </c>
      <c r="M13" s="13"/>
      <c r="N13" s="15">
        <v>381</v>
      </c>
      <c r="O13" s="15">
        <v>356</v>
      </c>
      <c r="P13" s="15">
        <v>356</v>
      </c>
      <c r="Q13" s="44"/>
      <c r="R13" s="15">
        <f t="shared" si="0"/>
        <v>8.5440000000000005</v>
      </c>
      <c r="S13" s="15">
        <f t="shared" si="0"/>
        <v>8.5440000000000005</v>
      </c>
      <c r="T13" s="15"/>
      <c r="U13" s="84" t="s">
        <v>675</v>
      </c>
      <c r="V13" s="84" t="s">
        <v>639</v>
      </c>
      <c r="W13" s="129" t="s">
        <v>640</v>
      </c>
      <c r="X13" s="84" t="s">
        <v>641</v>
      </c>
      <c r="Y13" s="84" t="s">
        <v>639</v>
      </c>
      <c r="Z13" s="84" t="s">
        <v>331</v>
      </c>
      <c r="AA13" s="129" t="s">
        <v>641</v>
      </c>
      <c r="AB13" s="84" t="s">
        <v>640</v>
      </c>
      <c r="AC13" s="84">
        <v>8</v>
      </c>
      <c r="AD13" s="84">
        <v>250</v>
      </c>
      <c r="AE13" s="84" t="s">
        <v>640</v>
      </c>
      <c r="AF13" s="84" t="s">
        <v>640</v>
      </c>
      <c r="AG13" s="85" t="s">
        <v>676</v>
      </c>
      <c r="AH13" s="85" t="s">
        <v>677</v>
      </c>
    </row>
    <row r="14" spans="1:34" ht="25.5">
      <c r="A14" s="17">
        <f t="shared" si="1"/>
        <v>11</v>
      </c>
      <c r="B14" s="3" t="s">
        <v>632</v>
      </c>
      <c r="C14" s="2" t="s">
        <v>171</v>
      </c>
      <c r="D14" s="127" t="s">
        <v>124</v>
      </c>
      <c r="E14" s="2" t="s">
        <v>678</v>
      </c>
      <c r="F14" s="2" t="s">
        <v>634</v>
      </c>
      <c r="G14" s="15">
        <v>2</v>
      </c>
      <c r="H14" s="12" t="s">
        <v>663</v>
      </c>
      <c r="I14" s="5" t="s">
        <v>640</v>
      </c>
      <c r="J14" s="5">
        <v>500</v>
      </c>
      <c r="K14" s="15">
        <v>2</v>
      </c>
      <c r="L14" s="15">
        <v>2</v>
      </c>
      <c r="M14" s="24" t="s">
        <v>679</v>
      </c>
      <c r="N14" s="15">
        <v>350</v>
      </c>
      <c r="O14" s="15">
        <v>350</v>
      </c>
      <c r="P14" s="15">
        <v>350</v>
      </c>
      <c r="Q14" s="44"/>
      <c r="R14" s="15">
        <f t="shared" si="0"/>
        <v>8.4</v>
      </c>
      <c r="S14" s="15">
        <f t="shared" si="0"/>
        <v>8.4</v>
      </c>
      <c r="T14" s="15"/>
      <c r="U14" s="84" t="s">
        <v>680</v>
      </c>
      <c r="V14" s="84" t="s">
        <v>639</v>
      </c>
      <c r="W14" s="129" t="s">
        <v>640</v>
      </c>
      <c r="X14" s="84" t="s">
        <v>641</v>
      </c>
      <c r="Y14" s="84" t="s">
        <v>639</v>
      </c>
      <c r="Z14" s="84" t="s">
        <v>653</v>
      </c>
      <c r="AA14" s="129" t="s">
        <v>641</v>
      </c>
      <c r="AB14" s="84" t="s">
        <v>641</v>
      </c>
      <c r="AC14" s="84" t="s">
        <v>681</v>
      </c>
      <c r="AD14" s="86" t="s">
        <v>682</v>
      </c>
      <c r="AE14" s="84" t="s">
        <v>641</v>
      </c>
      <c r="AF14" s="84" t="s">
        <v>640</v>
      </c>
      <c r="AG14" s="85" t="s">
        <v>683</v>
      </c>
      <c r="AH14" s="85"/>
    </row>
    <row r="15" spans="1:34" ht="25.5">
      <c r="A15" s="17">
        <f t="shared" si="1"/>
        <v>12</v>
      </c>
      <c r="B15" s="3" t="s">
        <v>684</v>
      </c>
      <c r="C15" s="2" t="s">
        <v>172</v>
      </c>
      <c r="D15" s="127" t="s">
        <v>124</v>
      </c>
      <c r="E15" s="2" t="s">
        <v>685</v>
      </c>
      <c r="F15" s="2" t="s">
        <v>634</v>
      </c>
      <c r="G15" s="15">
        <v>4</v>
      </c>
      <c r="H15" s="12" t="s">
        <v>686</v>
      </c>
      <c r="I15" s="4" t="s">
        <v>636</v>
      </c>
      <c r="J15" s="4"/>
      <c r="K15" s="15">
        <v>2</v>
      </c>
      <c r="L15" s="15">
        <v>2</v>
      </c>
      <c r="M15" s="24" t="s">
        <v>687</v>
      </c>
      <c r="N15" s="15">
        <v>285</v>
      </c>
      <c r="O15" s="15">
        <v>285</v>
      </c>
      <c r="P15" s="15">
        <v>285</v>
      </c>
      <c r="Q15" s="44"/>
      <c r="R15" s="15">
        <f t="shared" si="0"/>
        <v>6.84</v>
      </c>
      <c r="S15" s="15">
        <f t="shared" si="0"/>
        <v>6.84</v>
      </c>
      <c r="T15" s="15" t="s">
        <v>640</v>
      </c>
      <c r="U15" s="84" t="s">
        <v>638</v>
      </c>
      <c r="V15" s="84" t="s">
        <v>639</v>
      </c>
      <c r="W15" s="129" t="s">
        <v>640</v>
      </c>
      <c r="X15" s="86" t="s">
        <v>641</v>
      </c>
      <c r="Y15" s="86" t="s">
        <v>639</v>
      </c>
      <c r="Z15" s="86" t="s">
        <v>688</v>
      </c>
      <c r="AA15" s="129" t="s">
        <v>640</v>
      </c>
      <c r="AB15" s="86" t="s">
        <v>641</v>
      </c>
      <c r="AC15" s="86">
        <v>6</v>
      </c>
      <c r="AD15" s="86" t="s">
        <v>689</v>
      </c>
      <c r="AE15" s="86" t="s">
        <v>640</v>
      </c>
      <c r="AF15" s="84" t="s">
        <v>640</v>
      </c>
      <c r="AG15" s="85" t="s">
        <v>690</v>
      </c>
      <c r="AH15" s="85"/>
    </row>
    <row r="16" spans="1:34" ht="25.5">
      <c r="A16" s="17">
        <f t="shared" si="1"/>
        <v>13</v>
      </c>
      <c r="B16" s="3" t="s">
        <v>684</v>
      </c>
      <c r="C16" s="2" t="s">
        <v>173</v>
      </c>
      <c r="D16" s="127" t="s">
        <v>124</v>
      </c>
      <c r="E16" s="2" t="s">
        <v>691</v>
      </c>
      <c r="F16" s="2" t="s">
        <v>634</v>
      </c>
      <c r="G16" s="15">
        <v>4</v>
      </c>
      <c r="H16" s="12" t="s">
        <v>686</v>
      </c>
      <c r="I16" s="4" t="s">
        <v>636</v>
      </c>
      <c r="J16" s="4"/>
      <c r="K16" s="15">
        <v>3</v>
      </c>
      <c r="L16" s="15">
        <v>2</v>
      </c>
      <c r="M16" s="24" t="s">
        <v>692</v>
      </c>
      <c r="N16" s="15">
        <v>445</v>
      </c>
      <c r="O16" s="15">
        <v>321</v>
      </c>
      <c r="P16" s="15">
        <v>321</v>
      </c>
      <c r="Q16" s="44"/>
      <c r="R16" s="15">
        <f t="shared" si="0"/>
        <v>7.7039999999999997</v>
      </c>
      <c r="S16" s="15">
        <f t="shared" si="0"/>
        <v>7.7039999999999997</v>
      </c>
      <c r="T16" s="15"/>
      <c r="U16" s="84" t="s">
        <v>638</v>
      </c>
      <c r="V16" s="84" t="s">
        <v>649</v>
      </c>
      <c r="W16" s="129" t="s">
        <v>640</v>
      </c>
      <c r="X16" s="84" t="s">
        <v>641</v>
      </c>
      <c r="Y16" s="84" t="s">
        <v>639</v>
      </c>
      <c r="Z16" s="84" t="s">
        <v>331</v>
      </c>
      <c r="AA16" s="129" t="s">
        <v>640</v>
      </c>
      <c r="AB16" s="84" t="s">
        <v>641</v>
      </c>
      <c r="AC16" s="84">
        <v>2</v>
      </c>
      <c r="AD16" s="84">
        <v>200</v>
      </c>
      <c r="AE16" s="84" t="s">
        <v>640</v>
      </c>
      <c r="AF16" s="84" t="s">
        <v>640</v>
      </c>
      <c r="AG16" s="85" t="s">
        <v>693</v>
      </c>
      <c r="AH16" s="85"/>
    </row>
    <row r="17" spans="1:34" ht="25.5">
      <c r="A17" s="17">
        <f t="shared" si="1"/>
        <v>14</v>
      </c>
      <c r="B17" s="3" t="s">
        <v>684</v>
      </c>
      <c r="C17" s="2" t="s">
        <v>174</v>
      </c>
      <c r="D17" s="127" t="s">
        <v>124</v>
      </c>
      <c r="E17" s="2" t="s">
        <v>694</v>
      </c>
      <c r="F17" s="2" t="s">
        <v>634</v>
      </c>
      <c r="G17" s="15">
        <v>2</v>
      </c>
      <c r="H17" s="12" t="s">
        <v>663</v>
      </c>
      <c r="I17" s="5" t="s">
        <v>640</v>
      </c>
      <c r="J17" s="5"/>
      <c r="K17" s="15">
        <v>3</v>
      </c>
      <c r="L17" s="15">
        <v>3</v>
      </c>
      <c r="M17" s="24" t="s">
        <v>695</v>
      </c>
      <c r="N17" s="15">
        <v>593</v>
      </c>
      <c r="O17" s="15">
        <v>580</v>
      </c>
      <c r="P17" s="15">
        <v>580</v>
      </c>
      <c r="Q17" s="44"/>
      <c r="R17" s="15">
        <f t="shared" si="0"/>
        <v>13.92</v>
      </c>
      <c r="S17" s="15">
        <f t="shared" si="0"/>
        <v>13.92</v>
      </c>
      <c r="T17" s="15" t="s">
        <v>640</v>
      </c>
      <c r="U17" s="84" t="s">
        <v>638</v>
      </c>
      <c r="V17" s="84" t="s">
        <v>639</v>
      </c>
      <c r="W17" s="129" t="s">
        <v>640</v>
      </c>
      <c r="X17" s="84" t="s">
        <v>641</v>
      </c>
      <c r="Y17" s="84" t="s">
        <v>639</v>
      </c>
      <c r="Z17" s="84" t="s">
        <v>331</v>
      </c>
      <c r="AA17" s="129" t="s">
        <v>640</v>
      </c>
      <c r="AB17" s="84" t="s">
        <v>641</v>
      </c>
      <c r="AC17" s="86" t="s">
        <v>696</v>
      </c>
      <c r="AD17" s="84">
        <v>300</v>
      </c>
      <c r="AE17" s="84" t="s">
        <v>641</v>
      </c>
      <c r="AF17" s="84" t="s">
        <v>640</v>
      </c>
      <c r="AG17" s="85" t="s">
        <v>697</v>
      </c>
      <c r="AH17" s="85" t="s">
        <v>698</v>
      </c>
    </row>
    <row r="18" spans="1:34" ht="38.25">
      <c r="A18" s="17">
        <f t="shared" si="1"/>
        <v>15</v>
      </c>
      <c r="B18" s="3" t="s">
        <v>684</v>
      </c>
      <c r="C18" s="2" t="s">
        <v>175</v>
      </c>
      <c r="D18" s="127" t="s">
        <v>124</v>
      </c>
      <c r="E18" s="2" t="s">
        <v>699</v>
      </c>
      <c r="F18" s="2" t="s">
        <v>634</v>
      </c>
      <c r="G18" s="15">
        <v>2</v>
      </c>
      <c r="H18" s="12" t="s">
        <v>663</v>
      </c>
      <c r="I18" s="5" t="s">
        <v>640</v>
      </c>
      <c r="J18" s="5"/>
      <c r="K18" s="15">
        <v>3</v>
      </c>
      <c r="L18" s="15">
        <v>2</v>
      </c>
      <c r="M18" s="24" t="s">
        <v>700</v>
      </c>
      <c r="N18" s="15">
        <v>829</v>
      </c>
      <c r="O18" s="15">
        <v>485</v>
      </c>
      <c r="P18" s="15">
        <v>485</v>
      </c>
      <c r="Q18" s="44"/>
      <c r="R18" s="15">
        <f t="shared" si="0"/>
        <v>11.64</v>
      </c>
      <c r="S18" s="15">
        <f t="shared" si="0"/>
        <v>11.64</v>
      </c>
      <c r="T18" s="15"/>
      <c r="U18" s="84" t="s">
        <v>638</v>
      </c>
      <c r="V18" s="84" t="s">
        <v>639</v>
      </c>
      <c r="W18" s="129" t="s">
        <v>640</v>
      </c>
      <c r="X18" s="84" t="s">
        <v>640</v>
      </c>
      <c r="Y18" s="84" t="s">
        <v>89</v>
      </c>
      <c r="Z18" s="84" t="s">
        <v>331</v>
      </c>
      <c r="AA18" s="129" t="s">
        <v>640</v>
      </c>
      <c r="AB18" s="84" t="s">
        <v>641</v>
      </c>
      <c r="AC18" s="84">
        <v>1</v>
      </c>
      <c r="AD18" s="84">
        <v>250</v>
      </c>
      <c r="AE18" s="84" t="s">
        <v>640</v>
      </c>
      <c r="AF18" s="84" t="s">
        <v>640</v>
      </c>
      <c r="AG18" s="85" t="s">
        <v>701</v>
      </c>
      <c r="AH18" s="85" t="s">
        <v>702</v>
      </c>
    </row>
    <row r="19" spans="1:34" ht="38.25">
      <c r="A19" s="17">
        <f t="shared" si="1"/>
        <v>16</v>
      </c>
      <c r="B19" s="3" t="s">
        <v>684</v>
      </c>
      <c r="C19" s="2" t="s">
        <v>176</v>
      </c>
      <c r="D19" s="127" t="s">
        <v>124</v>
      </c>
      <c r="E19" s="2" t="s">
        <v>703</v>
      </c>
      <c r="F19" s="2" t="s">
        <v>634</v>
      </c>
      <c r="G19" s="15">
        <v>2</v>
      </c>
      <c r="H19" s="12" t="s">
        <v>663</v>
      </c>
      <c r="I19" s="5" t="s">
        <v>640</v>
      </c>
      <c r="J19" s="5"/>
      <c r="K19" s="15">
        <v>4</v>
      </c>
      <c r="L19" s="15">
        <v>2</v>
      </c>
      <c r="M19" s="24" t="s">
        <v>704</v>
      </c>
      <c r="N19" s="15">
        <v>580</v>
      </c>
      <c r="O19" s="15">
        <v>551</v>
      </c>
      <c r="P19" s="15">
        <v>551</v>
      </c>
      <c r="Q19" s="44"/>
      <c r="R19" s="15">
        <f t="shared" si="0"/>
        <v>13.224</v>
      </c>
      <c r="S19" s="15">
        <f t="shared" si="0"/>
        <v>13.224</v>
      </c>
      <c r="T19" s="15" t="s">
        <v>640</v>
      </c>
      <c r="U19" s="84" t="s">
        <v>638</v>
      </c>
      <c r="V19" s="84" t="s">
        <v>89</v>
      </c>
      <c r="W19" s="129" t="s">
        <v>640</v>
      </c>
      <c r="X19" s="84" t="s">
        <v>311</v>
      </c>
      <c r="Y19" s="84" t="s">
        <v>705</v>
      </c>
      <c r="Z19" s="84" t="s">
        <v>331</v>
      </c>
      <c r="AA19" s="129" t="s">
        <v>640</v>
      </c>
      <c r="AB19" s="84" t="s">
        <v>640</v>
      </c>
      <c r="AC19" s="84">
        <v>5.5</v>
      </c>
      <c r="AD19" s="84">
        <v>250</v>
      </c>
      <c r="AE19" s="100" t="s">
        <v>640</v>
      </c>
      <c r="AF19" s="84" t="s">
        <v>640</v>
      </c>
      <c r="AG19" s="85" t="s">
        <v>706</v>
      </c>
      <c r="AH19" s="85"/>
    </row>
    <row r="20" spans="1:34" ht="38.25">
      <c r="A20" s="17">
        <f t="shared" si="1"/>
        <v>17</v>
      </c>
      <c r="B20" s="3" t="s">
        <v>684</v>
      </c>
      <c r="C20" s="2" t="s">
        <v>177</v>
      </c>
      <c r="D20" s="127" t="s">
        <v>124</v>
      </c>
      <c r="E20" s="2" t="s">
        <v>707</v>
      </c>
      <c r="F20" s="2" t="s">
        <v>634</v>
      </c>
      <c r="G20" s="15">
        <v>2</v>
      </c>
      <c r="H20" s="12" t="s">
        <v>663</v>
      </c>
      <c r="I20" s="5" t="s">
        <v>640</v>
      </c>
      <c r="J20" s="5"/>
      <c r="K20" s="15">
        <v>1</v>
      </c>
      <c r="L20" s="15">
        <v>2</v>
      </c>
      <c r="M20" s="24" t="s">
        <v>708</v>
      </c>
      <c r="N20" s="15">
        <v>319</v>
      </c>
      <c r="O20" s="15">
        <v>277</v>
      </c>
      <c r="P20" s="15">
        <v>277</v>
      </c>
      <c r="Q20" s="44"/>
      <c r="R20" s="15">
        <f t="shared" si="0"/>
        <v>6.6479999999999997</v>
      </c>
      <c r="S20" s="15">
        <f t="shared" si="0"/>
        <v>6.6479999999999997</v>
      </c>
      <c r="T20" s="15"/>
      <c r="U20" s="84" t="s">
        <v>638</v>
      </c>
      <c r="V20" s="84" t="s">
        <v>89</v>
      </c>
      <c r="W20" s="129" t="s">
        <v>640</v>
      </c>
      <c r="X20" s="84" t="s">
        <v>311</v>
      </c>
      <c r="Y20" s="84" t="s">
        <v>705</v>
      </c>
      <c r="Z20" s="84" t="s">
        <v>331</v>
      </c>
      <c r="AA20" s="129" t="s">
        <v>640</v>
      </c>
      <c r="AB20" s="84" t="s">
        <v>641</v>
      </c>
      <c r="AC20" s="84">
        <v>15</v>
      </c>
      <c r="AD20" s="84">
        <v>200</v>
      </c>
      <c r="AE20" s="84" t="s">
        <v>641</v>
      </c>
      <c r="AF20" s="84" t="s">
        <v>640</v>
      </c>
      <c r="AG20" s="85" t="s">
        <v>706</v>
      </c>
      <c r="AH20" s="85"/>
    </row>
    <row r="21" spans="1:34" ht="38.25">
      <c r="A21" s="17">
        <f>A20+1</f>
        <v>18</v>
      </c>
      <c r="B21" s="3" t="s">
        <v>709</v>
      </c>
      <c r="C21" s="2" t="s">
        <v>178</v>
      </c>
      <c r="D21" s="127" t="s">
        <v>124</v>
      </c>
      <c r="E21" s="2" t="s">
        <v>710</v>
      </c>
      <c r="F21" s="2" t="s">
        <v>634</v>
      </c>
      <c r="G21" s="15">
        <v>2</v>
      </c>
      <c r="H21" s="12" t="s">
        <v>663</v>
      </c>
      <c r="I21" s="5" t="s">
        <v>640</v>
      </c>
      <c r="J21" s="5">
        <v>4500</v>
      </c>
      <c r="K21" s="15">
        <v>6</v>
      </c>
      <c r="L21" s="15">
        <v>2</v>
      </c>
      <c r="M21" s="34" t="s">
        <v>711</v>
      </c>
      <c r="N21" s="15">
        <v>1312</v>
      </c>
      <c r="O21" s="15">
        <v>1320</v>
      </c>
      <c r="P21" s="15">
        <v>1320</v>
      </c>
      <c r="Q21" s="33" t="s">
        <v>712</v>
      </c>
      <c r="R21" s="15">
        <f t="shared" si="0"/>
        <v>31.68</v>
      </c>
      <c r="S21" s="15">
        <f t="shared" si="0"/>
        <v>31.68</v>
      </c>
      <c r="T21" s="15"/>
      <c r="U21" s="84" t="s">
        <v>675</v>
      </c>
      <c r="V21" s="84" t="s">
        <v>639</v>
      </c>
      <c r="W21" s="129" t="s">
        <v>640</v>
      </c>
      <c r="X21" s="84" t="s">
        <v>641</v>
      </c>
      <c r="Y21" s="84" t="s">
        <v>639</v>
      </c>
      <c r="Z21" s="84" t="s">
        <v>653</v>
      </c>
      <c r="AA21" s="129" t="s">
        <v>641</v>
      </c>
      <c r="AB21" s="84" t="s">
        <v>641</v>
      </c>
      <c r="AC21" s="20">
        <v>12</v>
      </c>
      <c r="AD21" s="84">
        <v>450</v>
      </c>
      <c r="AE21" s="84" t="s">
        <v>640</v>
      </c>
      <c r="AF21" s="84" t="s">
        <v>640</v>
      </c>
      <c r="AG21" s="85" t="s">
        <v>713</v>
      </c>
      <c r="AH21" s="85" t="s">
        <v>714</v>
      </c>
    </row>
    <row r="22" spans="1:34" ht="38.25">
      <c r="A22" s="17">
        <f>A21+1</f>
        <v>19</v>
      </c>
      <c r="B22" s="3" t="s">
        <v>709</v>
      </c>
      <c r="C22" s="2" t="s">
        <v>179</v>
      </c>
      <c r="D22" s="127" t="s">
        <v>124</v>
      </c>
      <c r="E22" s="2" t="s">
        <v>715</v>
      </c>
      <c r="F22" s="2" t="s">
        <v>634</v>
      </c>
      <c r="G22" s="15">
        <v>2</v>
      </c>
      <c r="H22" s="12" t="s">
        <v>663</v>
      </c>
      <c r="I22" s="5" t="s">
        <v>640</v>
      </c>
      <c r="J22" s="5">
        <v>3500</v>
      </c>
      <c r="K22" s="15">
        <v>5</v>
      </c>
      <c r="L22" s="15">
        <v>2</v>
      </c>
      <c r="M22" s="34" t="s">
        <v>716</v>
      </c>
      <c r="N22" s="15">
        <v>1099</v>
      </c>
      <c r="O22" s="15">
        <v>1100</v>
      </c>
      <c r="P22" s="15">
        <v>1100</v>
      </c>
      <c r="Q22" s="33" t="s">
        <v>712</v>
      </c>
      <c r="R22" s="15">
        <f t="shared" si="0"/>
        <v>26.4</v>
      </c>
      <c r="S22" s="15">
        <f t="shared" si="0"/>
        <v>26.4</v>
      </c>
      <c r="T22" s="15"/>
      <c r="U22" s="84" t="s">
        <v>717</v>
      </c>
      <c r="V22" s="84" t="s">
        <v>649</v>
      </c>
      <c r="W22" s="129" t="s">
        <v>640</v>
      </c>
      <c r="X22" s="84" t="s">
        <v>641</v>
      </c>
      <c r="Y22" s="84" t="s">
        <v>718</v>
      </c>
      <c r="Z22" s="84" t="s">
        <v>653</v>
      </c>
      <c r="AA22" s="129" t="s">
        <v>641</v>
      </c>
      <c r="AB22" s="84" t="s">
        <v>641</v>
      </c>
      <c r="AC22" s="86" t="s">
        <v>696</v>
      </c>
      <c r="AD22" s="84">
        <v>375</v>
      </c>
      <c r="AE22" s="84" t="s">
        <v>641</v>
      </c>
      <c r="AF22" s="84" t="s">
        <v>640</v>
      </c>
      <c r="AG22" s="85" t="s">
        <v>719</v>
      </c>
      <c r="AH22" s="85" t="s">
        <v>698</v>
      </c>
    </row>
    <row r="23" spans="1:34" ht="45">
      <c r="A23" s="17">
        <f t="shared" ref="A23:A27" si="2">A22+1</f>
        <v>20</v>
      </c>
      <c r="B23" s="3" t="s">
        <v>709</v>
      </c>
      <c r="C23" s="2" t="s">
        <v>180</v>
      </c>
      <c r="D23" s="127" t="s">
        <v>124</v>
      </c>
      <c r="E23" s="2" t="s">
        <v>720</v>
      </c>
      <c r="F23" s="2" t="s">
        <v>634</v>
      </c>
      <c r="G23" s="15">
        <v>2</v>
      </c>
      <c r="H23" s="12" t="s">
        <v>663</v>
      </c>
      <c r="I23" s="5" t="s">
        <v>640</v>
      </c>
      <c r="J23" s="5">
        <v>3500</v>
      </c>
      <c r="K23" s="15">
        <v>2</v>
      </c>
      <c r="L23" s="15">
        <v>3</v>
      </c>
      <c r="M23" s="34" t="s">
        <v>721</v>
      </c>
      <c r="N23" s="15">
        <v>1254</v>
      </c>
      <c r="O23" s="15">
        <v>470</v>
      </c>
      <c r="P23" s="15">
        <v>470</v>
      </c>
      <c r="Q23" s="33" t="s">
        <v>722</v>
      </c>
      <c r="R23" s="15">
        <f t="shared" si="0"/>
        <v>11.28</v>
      </c>
      <c r="S23" s="15">
        <f t="shared" si="0"/>
        <v>11.28</v>
      </c>
      <c r="T23" s="15"/>
      <c r="U23" s="20" t="s">
        <v>638</v>
      </c>
      <c r="V23" s="20" t="s">
        <v>639</v>
      </c>
      <c r="W23" s="129" t="s">
        <v>641</v>
      </c>
      <c r="X23" s="20" t="s">
        <v>640</v>
      </c>
      <c r="Y23" s="20" t="s">
        <v>649</v>
      </c>
      <c r="Z23" s="20" t="s">
        <v>639</v>
      </c>
      <c r="AA23" s="129" t="s">
        <v>641</v>
      </c>
      <c r="AB23" s="20" t="s">
        <v>640</v>
      </c>
      <c r="AC23" s="86" t="s">
        <v>696</v>
      </c>
      <c r="AD23" s="20">
        <v>500</v>
      </c>
      <c r="AE23" s="20" t="s">
        <v>640</v>
      </c>
      <c r="AF23" s="84" t="s">
        <v>640</v>
      </c>
      <c r="AG23" s="83" t="s">
        <v>723</v>
      </c>
      <c r="AH23" s="83" t="s">
        <v>724</v>
      </c>
    </row>
    <row r="24" spans="1:34" ht="30">
      <c r="A24" s="17">
        <f t="shared" si="2"/>
        <v>21</v>
      </c>
      <c r="B24" s="3" t="s">
        <v>709</v>
      </c>
      <c r="C24" s="2" t="s">
        <v>181</v>
      </c>
      <c r="D24" s="127" t="s">
        <v>124</v>
      </c>
      <c r="E24" s="2" t="s">
        <v>725</v>
      </c>
      <c r="F24" s="2" t="s">
        <v>634</v>
      </c>
      <c r="G24" s="15">
        <v>2</v>
      </c>
      <c r="H24" s="12" t="s">
        <v>663</v>
      </c>
      <c r="I24" s="5" t="s">
        <v>640</v>
      </c>
      <c r="J24" s="5">
        <v>3500</v>
      </c>
      <c r="K24" s="15">
        <v>4</v>
      </c>
      <c r="L24" s="15">
        <v>2</v>
      </c>
      <c r="M24" s="34" t="s">
        <v>716</v>
      </c>
      <c r="N24" s="15">
        <v>1433</v>
      </c>
      <c r="O24" s="15">
        <v>1149.9839999999999</v>
      </c>
      <c r="P24" s="15">
        <v>1149.9839999999999</v>
      </c>
      <c r="Q24" s="33" t="s">
        <v>712</v>
      </c>
      <c r="R24" s="15">
        <f t="shared" si="0"/>
        <v>27.599616000000001</v>
      </c>
      <c r="S24" s="15">
        <f t="shared" si="0"/>
        <v>27.599616000000001</v>
      </c>
      <c r="T24" s="15"/>
      <c r="U24" s="20" t="s">
        <v>638</v>
      </c>
      <c r="V24" s="20" t="s">
        <v>649</v>
      </c>
      <c r="W24" s="129" t="s">
        <v>640</v>
      </c>
      <c r="X24" s="20" t="s">
        <v>641</v>
      </c>
      <c r="Y24" s="20" t="s">
        <v>639</v>
      </c>
      <c r="Z24" s="84" t="s">
        <v>331</v>
      </c>
      <c r="AA24" s="129" t="s">
        <v>641</v>
      </c>
      <c r="AB24" s="20" t="s">
        <v>641</v>
      </c>
      <c r="AC24" s="20">
        <v>18</v>
      </c>
      <c r="AD24" s="20">
        <v>450</v>
      </c>
      <c r="AE24" s="20" t="s">
        <v>641</v>
      </c>
      <c r="AF24" s="84" t="s">
        <v>640</v>
      </c>
      <c r="AG24" s="83" t="s">
        <v>726</v>
      </c>
      <c r="AH24" s="83"/>
    </row>
    <row r="25" spans="1:34" ht="25.5">
      <c r="A25" s="17">
        <f t="shared" si="2"/>
        <v>22</v>
      </c>
      <c r="B25" s="3" t="s">
        <v>727</v>
      </c>
      <c r="C25" s="2" t="s">
        <v>182</v>
      </c>
      <c r="D25" s="127" t="s">
        <v>124</v>
      </c>
      <c r="E25" s="2" t="s">
        <v>728</v>
      </c>
      <c r="F25" s="2" t="s">
        <v>634</v>
      </c>
      <c r="G25" s="15">
        <v>2</v>
      </c>
      <c r="H25" s="12" t="s">
        <v>663</v>
      </c>
      <c r="I25" s="5" t="s">
        <v>640</v>
      </c>
      <c r="J25" s="5">
        <v>1085</v>
      </c>
      <c r="K25" s="15">
        <v>6</v>
      </c>
      <c r="L25" s="15">
        <v>3</v>
      </c>
      <c r="M25" s="34" t="s">
        <v>729</v>
      </c>
      <c r="N25" s="15">
        <v>1138</v>
      </c>
      <c r="O25" s="15">
        <v>1000</v>
      </c>
      <c r="P25" s="15">
        <v>1000</v>
      </c>
      <c r="Q25" s="44"/>
      <c r="R25" s="15">
        <f t="shared" si="0"/>
        <v>24</v>
      </c>
      <c r="S25" s="15">
        <f t="shared" si="0"/>
        <v>24</v>
      </c>
      <c r="T25" s="15"/>
      <c r="U25" s="20" t="s">
        <v>638</v>
      </c>
      <c r="V25" s="20" t="s">
        <v>639</v>
      </c>
      <c r="W25" s="129" t="s">
        <v>641</v>
      </c>
      <c r="X25" s="20" t="s">
        <v>641</v>
      </c>
      <c r="Y25" s="20" t="s">
        <v>311</v>
      </c>
      <c r="Z25" s="84" t="s">
        <v>331</v>
      </c>
      <c r="AA25" s="129" t="s">
        <v>641</v>
      </c>
      <c r="AB25" s="20" t="s">
        <v>641</v>
      </c>
      <c r="AC25" s="86" t="s">
        <v>696</v>
      </c>
      <c r="AD25" s="20">
        <v>300</v>
      </c>
      <c r="AE25" s="20" t="s">
        <v>641</v>
      </c>
      <c r="AF25" s="84" t="s">
        <v>640</v>
      </c>
      <c r="AG25" s="87" t="s">
        <v>730</v>
      </c>
      <c r="AH25" s="85" t="s">
        <v>731</v>
      </c>
    </row>
    <row r="26" spans="1:34" ht="60">
      <c r="A26" s="17">
        <f t="shared" si="2"/>
        <v>23</v>
      </c>
      <c r="B26" s="3" t="s">
        <v>727</v>
      </c>
      <c r="C26" s="2" t="s">
        <v>183</v>
      </c>
      <c r="D26" s="127" t="s">
        <v>124</v>
      </c>
      <c r="E26" s="2" t="s">
        <v>732</v>
      </c>
      <c r="F26" s="2" t="s">
        <v>634</v>
      </c>
      <c r="G26" s="15">
        <v>1</v>
      </c>
      <c r="H26" s="12" t="s">
        <v>635</v>
      </c>
      <c r="I26" s="4" t="s">
        <v>636</v>
      </c>
      <c r="J26" s="4"/>
      <c r="K26" s="15">
        <v>2</v>
      </c>
      <c r="L26" s="15" t="s">
        <v>637</v>
      </c>
      <c r="M26" s="13" t="s">
        <v>637</v>
      </c>
      <c r="N26" s="15">
        <v>260</v>
      </c>
      <c r="O26" s="15">
        <v>252</v>
      </c>
      <c r="P26" s="15">
        <v>252</v>
      </c>
      <c r="Q26" s="44"/>
      <c r="R26" s="15">
        <f t="shared" si="0"/>
        <v>6.048</v>
      </c>
      <c r="S26" s="15">
        <f t="shared" si="0"/>
        <v>6.048</v>
      </c>
      <c r="T26" s="15"/>
      <c r="U26" s="20" t="s">
        <v>638</v>
      </c>
      <c r="V26" s="20" t="s">
        <v>649</v>
      </c>
      <c r="W26" s="129" t="s">
        <v>640</v>
      </c>
      <c r="X26" s="20" t="s">
        <v>641</v>
      </c>
      <c r="Y26" s="20" t="s">
        <v>89</v>
      </c>
      <c r="Z26" s="84" t="s">
        <v>331</v>
      </c>
      <c r="AA26" s="129" t="s">
        <v>641</v>
      </c>
      <c r="AB26" s="20" t="s">
        <v>640</v>
      </c>
      <c r="AC26" s="20">
        <v>5</v>
      </c>
      <c r="AD26" s="20">
        <v>300</v>
      </c>
      <c r="AE26" s="20" t="s">
        <v>640</v>
      </c>
      <c r="AF26" s="84" t="s">
        <v>640</v>
      </c>
      <c r="AG26" s="83" t="s">
        <v>733</v>
      </c>
      <c r="AH26" s="83"/>
    </row>
    <row r="27" spans="1:34" ht="30">
      <c r="A27" s="17">
        <f t="shared" si="2"/>
        <v>24</v>
      </c>
      <c r="B27" s="3" t="s">
        <v>727</v>
      </c>
      <c r="C27" s="2" t="s">
        <v>184</v>
      </c>
      <c r="D27" s="127" t="s">
        <v>124</v>
      </c>
      <c r="E27" s="2" t="s">
        <v>734</v>
      </c>
      <c r="F27" s="2" t="s">
        <v>634</v>
      </c>
      <c r="G27" s="15">
        <v>4</v>
      </c>
      <c r="H27" s="12" t="s">
        <v>686</v>
      </c>
      <c r="I27" s="4" t="s">
        <v>636</v>
      </c>
      <c r="J27" s="4"/>
      <c r="K27" s="15">
        <v>2</v>
      </c>
      <c r="L27" s="15">
        <v>2</v>
      </c>
      <c r="M27" s="34" t="s">
        <v>735</v>
      </c>
      <c r="N27" s="15">
        <v>287</v>
      </c>
      <c r="O27" s="15">
        <v>280</v>
      </c>
      <c r="P27" s="15">
        <v>280</v>
      </c>
      <c r="Q27" s="33" t="s">
        <v>736</v>
      </c>
      <c r="R27" s="15">
        <f t="shared" si="0"/>
        <v>6.72</v>
      </c>
      <c r="S27" s="15">
        <f t="shared" si="0"/>
        <v>6.72</v>
      </c>
      <c r="T27" s="15" t="s">
        <v>640</v>
      </c>
      <c r="U27" s="20" t="s">
        <v>638</v>
      </c>
      <c r="V27" s="20" t="s">
        <v>639</v>
      </c>
      <c r="W27" s="129" t="s">
        <v>640</v>
      </c>
      <c r="X27" s="20" t="s">
        <v>641</v>
      </c>
      <c r="Y27" s="20" t="s">
        <v>639</v>
      </c>
      <c r="Z27" s="84" t="s">
        <v>331</v>
      </c>
      <c r="AA27" s="129" t="s">
        <v>641</v>
      </c>
      <c r="AB27" s="20" t="s">
        <v>641</v>
      </c>
      <c r="AC27" s="114">
        <v>7.7</v>
      </c>
      <c r="AD27" s="20">
        <v>300</v>
      </c>
      <c r="AE27" s="20" t="s">
        <v>640</v>
      </c>
      <c r="AF27" s="84" t="s">
        <v>640</v>
      </c>
      <c r="AG27" s="83" t="s">
        <v>737</v>
      </c>
      <c r="AH27" s="83"/>
    </row>
    <row r="28" spans="1:34" ht="30">
      <c r="A28" s="17">
        <f>A27+1</f>
        <v>25</v>
      </c>
      <c r="B28" s="3" t="s">
        <v>727</v>
      </c>
      <c r="C28" s="2" t="s">
        <v>185</v>
      </c>
      <c r="D28" s="127" t="s">
        <v>124</v>
      </c>
      <c r="E28" s="2" t="s">
        <v>738</v>
      </c>
      <c r="F28" s="2" t="s">
        <v>634</v>
      </c>
      <c r="G28" s="15">
        <v>2</v>
      </c>
      <c r="H28" s="12" t="s">
        <v>663</v>
      </c>
      <c r="I28" s="5" t="s">
        <v>640</v>
      </c>
      <c r="J28" s="11">
        <v>180</v>
      </c>
      <c r="K28" s="15">
        <v>2</v>
      </c>
      <c r="L28" s="15">
        <v>1</v>
      </c>
      <c r="M28" s="13">
        <v>225</v>
      </c>
      <c r="N28" s="15">
        <v>286</v>
      </c>
      <c r="O28" s="15">
        <v>280</v>
      </c>
      <c r="P28" s="15">
        <v>280</v>
      </c>
      <c r="Q28" s="33" t="s">
        <v>739</v>
      </c>
      <c r="R28" s="15">
        <f t="shared" si="0"/>
        <v>6.72</v>
      </c>
      <c r="S28" s="15">
        <f t="shared" si="0"/>
        <v>6.72</v>
      </c>
      <c r="T28" s="15"/>
      <c r="U28" s="20" t="s">
        <v>638</v>
      </c>
      <c r="V28" s="20" t="s">
        <v>639</v>
      </c>
      <c r="W28" s="129" t="s">
        <v>640</v>
      </c>
      <c r="X28" s="20" t="s">
        <v>641</v>
      </c>
      <c r="Y28" s="20" t="s">
        <v>639</v>
      </c>
      <c r="Z28" s="84" t="s">
        <v>331</v>
      </c>
      <c r="AA28" s="129" t="s">
        <v>641</v>
      </c>
      <c r="AB28" s="20" t="s">
        <v>640</v>
      </c>
      <c r="AC28" s="20">
        <v>20</v>
      </c>
      <c r="AD28" s="20">
        <v>200</v>
      </c>
      <c r="AE28" s="20" t="s">
        <v>641</v>
      </c>
      <c r="AF28" s="84" t="s">
        <v>640</v>
      </c>
      <c r="AG28" s="83" t="s">
        <v>740</v>
      </c>
      <c r="AH28" s="83"/>
    </row>
    <row r="29" spans="1:34" ht="60">
      <c r="A29" s="17">
        <f>A28+1</f>
        <v>26</v>
      </c>
      <c r="B29" s="3" t="s">
        <v>727</v>
      </c>
      <c r="C29" s="2" t="s">
        <v>186</v>
      </c>
      <c r="D29" s="127" t="s">
        <v>124</v>
      </c>
      <c r="E29" s="2" t="s">
        <v>741</v>
      </c>
      <c r="F29" s="2" t="s">
        <v>634</v>
      </c>
      <c r="G29" s="15">
        <v>2</v>
      </c>
      <c r="H29" s="12" t="s">
        <v>663</v>
      </c>
      <c r="I29" s="5" t="s">
        <v>640</v>
      </c>
      <c r="J29" s="11">
        <v>300</v>
      </c>
      <c r="K29" s="15">
        <v>3</v>
      </c>
      <c r="L29" s="15">
        <v>2</v>
      </c>
      <c r="M29" s="24" t="s">
        <v>704</v>
      </c>
      <c r="N29" s="15">
        <v>528</v>
      </c>
      <c r="O29" s="15">
        <v>528</v>
      </c>
      <c r="P29" s="15">
        <v>528</v>
      </c>
      <c r="Q29" s="44"/>
      <c r="R29" s="15">
        <f t="shared" si="0"/>
        <v>12.672000000000001</v>
      </c>
      <c r="S29" s="15">
        <f t="shared" si="0"/>
        <v>12.672000000000001</v>
      </c>
      <c r="T29" s="15"/>
      <c r="U29" s="20" t="s">
        <v>638</v>
      </c>
      <c r="V29" s="20" t="s">
        <v>649</v>
      </c>
      <c r="W29" s="129" t="s">
        <v>640</v>
      </c>
      <c r="X29" s="20" t="s">
        <v>641</v>
      </c>
      <c r="Y29" s="20" t="s">
        <v>89</v>
      </c>
      <c r="Z29" s="84" t="s">
        <v>331</v>
      </c>
      <c r="AA29" s="129" t="s">
        <v>641</v>
      </c>
      <c r="AB29" s="20" t="s">
        <v>641</v>
      </c>
      <c r="AC29" s="20">
        <v>9</v>
      </c>
      <c r="AD29" s="20">
        <v>200</v>
      </c>
      <c r="AE29" s="20" t="s">
        <v>641</v>
      </c>
      <c r="AF29" s="84" t="s">
        <v>640</v>
      </c>
      <c r="AG29" s="83" t="s">
        <v>742</v>
      </c>
      <c r="AH29" s="83"/>
    </row>
    <row r="30" spans="1:34" ht="45">
      <c r="A30" s="17">
        <f t="shared" ref="A30:A31" si="3">A29+1</f>
        <v>27</v>
      </c>
      <c r="B30" s="3" t="s">
        <v>727</v>
      </c>
      <c r="C30" s="2" t="s">
        <v>187</v>
      </c>
      <c r="D30" s="127" t="s">
        <v>124</v>
      </c>
      <c r="E30" s="2" t="s">
        <v>743</v>
      </c>
      <c r="F30" s="2" t="s">
        <v>634</v>
      </c>
      <c r="G30" s="15">
        <v>2</v>
      </c>
      <c r="H30" s="12" t="s">
        <v>663</v>
      </c>
      <c r="I30" s="5" t="s">
        <v>640</v>
      </c>
      <c r="J30" s="11">
        <v>310</v>
      </c>
      <c r="K30" s="15">
        <v>2</v>
      </c>
      <c r="L30" s="15">
        <v>1</v>
      </c>
      <c r="M30" s="13">
        <v>225</v>
      </c>
      <c r="N30" s="15">
        <v>313</v>
      </c>
      <c r="O30" s="15">
        <v>300</v>
      </c>
      <c r="P30" s="15">
        <v>300</v>
      </c>
      <c r="Q30" s="44"/>
      <c r="R30" s="15">
        <f t="shared" si="0"/>
        <v>7.2</v>
      </c>
      <c r="S30" s="15">
        <f t="shared" si="0"/>
        <v>7.2</v>
      </c>
      <c r="T30" s="15"/>
      <c r="U30" s="20" t="s">
        <v>638</v>
      </c>
      <c r="V30" s="20" t="s">
        <v>649</v>
      </c>
      <c r="W30" s="129" t="s">
        <v>640</v>
      </c>
      <c r="X30" s="20" t="s">
        <v>640</v>
      </c>
      <c r="Y30" s="20" t="s">
        <v>705</v>
      </c>
      <c r="Z30" s="84" t="s">
        <v>331</v>
      </c>
      <c r="AA30" s="129" t="s">
        <v>641</v>
      </c>
      <c r="AB30" s="20" t="s">
        <v>641</v>
      </c>
      <c r="AC30" s="20">
        <v>22</v>
      </c>
      <c r="AD30" s="20">
        <v>300</v>
      </c>
      <c r="AE30" s="20" t="s">
        <v>641</v>
      </c>
      <c r="AF30" s="84" t="s">
        <v>640</v>
      </c>
      <c r="AG30" s="83" t="s">
        <v>744</v>
      </c>
      <c r="AH30" s="83"/>
    </row>
    <row r="31" spans="1:34" ht="60">
      <c r="A31" s="17">
        <f t="shared" si="3"/>
        <v>28</v>
      </c>
      <c r="B31" s="3" t="s">
        <v>727</v>
      </c>
      <c r="C31" s="2" t="s">
        <v>188</v>
      </c>
      <c r="D31" s="127" t="s">
        <v>124</v>
      </c>
      <c r="E31" s="2" t="s">
        <v>745</v>
      </c>
      <c r="F31" s="2" t="s">
        <v>634</v>
      </c>
      <c r="G31" s="15">
        <v>2</v>
      </c>
      <c r="H31" s="12" t="s">
        <v>663</v>
      </c>
      <c r="I31" s="5" t="s">
        <v>640</v>
      </c>
      <c r="J31" s="11">
        <v>300</v>
      </c>
      <c r="K31" s="15">
        <v>3</v>
      </c>
      <c r="L31" s="15">
        <v>2</v>
      </c>
      <c r="M31" s="24" t="s">
        <v>704</v>
      </c>
      <c r="N31" s="15">
        <v>622</v>
      </c>
      <c r="O31" s="15">
        <v>580</v>
      </c>
      <c r="P31" s="15">
        <v>580</v>
      </c>
      <c r="Q31" s="44"/>
      <c r="R31" s="15">
        <f t="shared" si="0"/>
        <v>13.92</v>
      </c>
      <c r="S31" s="15">
        <f t="shared" si="0"/>
        <v>13.92</v>
      </c>
      <c r="T31" s="15"/>
      <c r="U31" s="20" t="s">
        <v>638</v>
      </c>
      <c r="V31" s="20" t="s">
        <v>639</v>
      </c>
      <c r="W31" s="129" t="s">
        <v>640</v>
      </c>
      <c r="X31" s="20" t="s">
        <v>649</v>
      </c>
      <c r="Y31" s="20" t="s">
        <v>705</v>
      </c>
      <c r="Z31" s="84" t="s">
        <v>331</v>
      </c>
      <c r="AA31" s="129" t="s">
        <v>641</v>
      </c>
      <c r="AB31" s="20" t="s">
        <v>641</v>
      </c>
      <c r="AC31" s="20">
        <v>5</v>
      </c>
      <c r="AD31" s="20" t="s">
        <v>689</v>
      </c>
      <c r="AE31" s="20" t="s">
        <v>640</v>
      </c>
      <c r="AF31" s="84" t="s">
        <v>640</v>
      </c>
      <c r="AG31" s="83" t="s">
        <v>746</v>
      </c>
      <c r="AH31" s="83"/>
    </row>
    <row r="32" spans="1:34" ht="45">
      <c r="A32" s="17">
        <f>A31+1</f>
        <v>29</v>
      </c>
      <c r="B32" s="3" t="s">
        <v>727</v>
      </c>
      <c r="C32" s="2" t="s">
        <v>189</v>
      </c>
      <c r="D32" s="127" t="s">
        <v>124</v>
      </c>
      <c r="E32" s="2" t="s">
        <v>747</v>
      </c>
      <c r="F32" s="2" t="s">
        <v>634</v>
      </c>
      <c r="G32" s="15">
        <v>2</v>
      </c>
      <c r="H32" s="12" t="s">
        <v>663</v>
      </c>
      <c r="I32" s="5" t="s">
        <v>640</v>
      </c>
      <c r="J32" s="11">
        <v>350</v>
      </c>
      <c r="K32" s="15">
        <v>3</v>
      </c>
      <c r="L32" s="15">
        <v>2</v>
      </c>
      <c r="M32" s="24" t="s">
        <v>704</v>
      </c>
      <c r="N32" s="15">
        <v>551</v>
      </c>
      <c r="O32" s="15">
        <v>225</v>
      </c>
      <c r="P32" s="15">
        <v>550</v>
      </c>
      <c r="Q32" s="33" t="s">
        <v>748</v>
      </c>
      <c r="R32" s="15">
        <f t="shared" si="0"/>
        <v>5.4</v>
      </c>
      <c r="S32" s="15">
        <f t="shared" si="0"/>
        <v>13.2</v>
      </c>
      <c r="T32" s="15"/>
      <c r="U32" s="20" t="s">
        <v>638</v>
      </c>
      <c r="V32" s="20" t="s">
        <v>649</v>
      </c>
      <c r="W32" s="129" t="s">
        <v>640</v>
      </c>
      <c r="X32" s="20" t="s">
        <v>640</v>
      </c>
      <c r="Y32" s="20" t="s">
        <v>705</v>
      </c>
      <c r="Z32" s="20" t="s">
        <v>688</v>
      </c>
      <c r="AA32" s="129" t="s">
        <v>641</v>
      </c>
      <c r="AB32" s="20" t="s">
        <v>641</v>
      </c>
      <c r="AC32" s="20">
        <v>6</v>
      </c>
      <c r="AD32" s="20">
        <v>300</v>
      </c>
      <c r="AE32" s="20" t="s">
        <v>640</v>
      </c>
      <c r="AF32" s="84" t="s">
        <v>640</v>
      </c>
      <c r="AG32" s="83" t="s">
        <v>749</v>
      </c>
      <c r="AH32" s="83"/>
    </row>
    <row r="33" spans="1:34" ht="45">
      <c r="A33" s="17">
        <f>A32+1</f>
        <v>30</v>
      </c>
      <c r="B33" s="3" t="s">
        <v>727</v>
      </c>
      <c r="C33" s="2" t="s">
        <v>190</v>
      </c>
      <c r="D33" s="127" t="s">
        <v>124</v>
      </c>
      <c r="E33" s="2" t="s">
        <v>750</v>
      </c>
      <c r="F33" s="2" t="s">
        <v>634</v>
      </c>
      <c r="G33" s="15">
        <v>1</v>
      </c>
      <c r="H33" s="12" t="s">
        <v>635</v>
      </c>
      <c r="I33" s="4" t="s">
        <v>636</v>
      </c>
      <c r="J33" s="4"/>
      <c r="K33" s="15">
        <v>2</v>
      </c>
      <c r="L33" s="15" t="s">
        <v>637</v>
      </c>
      <c r="M33" s="13" t="s">
        <v>637</v>
      </c>
      <c r="N33" s="15">
        <v>449</v>
      </c>
      <c r="O33" s="15">
        <v>449</v>
      </c>
      <c r="P33" s="15">
        <v>449</v>
      </c>
      <c r="Q33" s="44"/>
      <c r="R33" s="15">
        <f t="shared" si="0"/>
        <v>10.776</v>
      </c>
      <c r="S33" s="15">
        <f t="shared" si="0"/>
        <v>10.776</v>
      </c>
      <c r="T33" s="15"/>
      <c r="U33" s="20" t="s">
        <v>638</v>
      </c>
      <c r="V33" s="20" t="s">
        <v>639</v>
      </c>
      <c r="W33" s="129" t="s">
        <v>640</v>
      </c>
      <c r="X33" s="20" t="s">
        <v>641</v>
      </c>
      <c r="Y33" s="20" t="s">
        <v>649</v>
      </c>
      <c r="Z33" s="84" t="s">
        <v>331</v>
      </c>
      <c r="AA33" s="129" t="s">
        <v>641</v>
      </c>
      <c r="AB33" s="20" t="s">
        <v>641</v>
      </c>
      <c r="AC33" s="86" t="s">
        <v>696</v>
      </c>
      <c r="AD33" s="20">
        <v>200</v>
      </c>
      <c r="AE33" s="20" t="s">
        <v>640</v>
      </c>
      <c r="AF33" s="84" t="s">
        <v>640</v>
      </c>
      <c r="AG33" s="83" t="s">
        <v>751</v>
      </c>
      <c r="AH33" s="83" t="s">
        <v>752</v>
      </c>
    </row>
    <row r="34" spans="1:34" ht="45">
      <c r="A34" s="17">
        <f>A33+1</f>
        <v>31</v>
      </c>
      <c r="B34" s="3" t="s">
        <v>727</v>
      </c>
      <c r="C34" s="2" t="s">
        <v>191</v>
      </c>
      <c r="D34" s="127" t="s">
        <v>124</v>
      </c>
      <c r="E34" s="2" t="s">
        <v>753</v>
      </c>
      <c r="F34" s="2" t="s">
        <v>634</v>
      </c>
      <c r="G34" s="15">
        <v>2</v>
      </c>
      <c r="H34" s="12" t="s">
        <v>663</v>
      </c>
      <c r="I34" s="5" t="s">
        <v>640</v>
      </c>
      <c r="J34" s="5"/>
      <c r="K34" s="15">
        <v>5</v>
      </c>
      <c r="L34" s="15">
        <v>2</v>
      </c>
      <c r="M34" s="24" t="s">
        <v>704</v>
      </c>
      <c r="N34" s="15">
        <v>455</v>
      </c>
      <c r="O34" s="15">
        <v>225</v>
      </c>
      <c r="P34" s="15">
        <v>450</v>
      </c>
      <c r="Q34" s="33" t="s">
        <v>754</v>
      </c>
      <c r="R34" s="15">
        <f t="shared" si="0"/>
        <v>5.4</v>
      </c>
      <c r="S34" s="15">
        <f t="shared" si="0"/>
        <v>10.8</v>
      </c>
      <c r="T34" s="15"/>
      <c r="U34" s="20" t="s">
        <v>638</v>
      </c>
      <c r="V34" s="20" t="s">
        <v>639</v>
      </c>
      <c r="W34" s="129" t="s">
        <v>640</v>
      </c>
      <c r="X34" s="20" t="s">
        <v>641</v>
      </c>
      <c r="Y34" s="20" t="s">
        <v>639</v>
      </c>
      <c r="Z34" s="84" t="s">
        <v>331</v>
      </c>
      <c r="AA34" s="129" t="s">
        <v>641</v>
      </c>
      <c r="AB34" s="20" t="s">
        <v>640</v>
      </c>
      <c r="AC34" s="86" t="s">
        <v>696</v>
      </c>
      <c r="AD34" s="20">
        <v>200</v>
      </c>
      <c r="AE34" s="20" t="s">
        <v>640</v>
      </c>
      <c r="AF34" s="84" t="s">
        <v>640</v>
      </c>
      <c r="AG34" s="83" t="s">
        <v>755</v>
      </c>
      <c r="AH34" s="83" t="s">
        <v>756</v>
      </c>
    </row>
    <row r="35" spans="1:34" ht="38.25">
      <c r="A35" s="17">
        <f>A34+1</f>
        <v>32</v>
      </c>
      <c r="B35" s="3" t="s">
        <v>727</v>
      </c>
      <c r="C35" s="2" t="s">
        <v>192</v>
      </c>
      <c r="D35" s="127" t="s">
        <v>124</v>
      </c>
      <c r="E35" s="2" t="s">
        <v>757</v>
      </c>
      <c r="F35" s="2" t="s">
        <v>634</v>
      </c>
      <c r="G35" s="15">
        <v>2</v>
      </c>
      <c r="H35" s="12" t="s">
        <v>663</v>
      </c>
      <c r="I35" s="5" t="s">
        <v>640</v>
      </c>
      <c r="J35" s="11">
        <f>150+165</f>
        <v>315</v>
      </c>
      <c r="K35" s="15">
        <v>4</v>
      </c>
      <c r="L35" s="15">
        <v>2</v>
      </c>
      <c r="M35" s="24" t="s">
        <v>704</v>
      </c>
      <c r="N35" s="15">
        <v>487</v>
      </c>
      <c r="O35" s="15">
        <v>450</v>
      </c>
      <c r="P35" s="15">
        <v>450</v>
      </c>
      <c r="Q35" s="33" t="s">
        <v>758</v>
      </c>
      <c r="R35" s="15">
        <f t="shared" si="0"/>
        <v>10.8</v>
      </c>
      <c r="S35" s="15">
        <f t="shared" si="0"/>
        <v>10.8</v>
      </c>
      <c r="T35" s="15"/>
      <c r="U35" s="20" t="s">
        <v>675</v>
      </c>
      <c r="V35" s="20" t="s">
        <v>639</v>
      </c>
      <c r="W35" s="129" t="s">
        <v>640</v>
      </c>
      <c r="X35" s="20" t="s">
        <v>641</v>
      </c>
      <c r="Y35" s="20" t="s">
        <v>639</v>
      </c>
      <c r="Z35" s="20" t="s">
        <v>653</v>
      </c>
      <c r="AA35" s="129" t="s">
        <v>641</v>
      </c>
      <c r="AB35" s="20" t="s">
        <v>641</v>
      </c>
      <c r="AC35" s="20">
        <v>3</v>
      </c>
      <c r="AD35" s="20">
        <v>200</v>
      </c>
      <c r="AE35" s="20" t="s">
        <v>640</v>
      </c>
      <c r="AF35" s="84" t="s">
        <v>640</v>
      </c>
      <c r="AG35" s="83" t="s">
        <v>759</v>
      </c>
      <c r="AH35" s="85" t="s">
        <v>714</v>
      </c>
    </row>
    <row r="36" spans="1:34" ht="45">
      <c r="A36" s="17">
        <f t="shared" ref="A36:A42" si="4">A35+1</f>
        <v>33</v>
      </c>
      <c r="B36" s="3" t="s">
        <v>727</v>
      </c>
      <c r="C36" s="2" t="s">
        <v>193</v>
      </c>
      <c r="D36" s="127" t="s">
        <v>124</v>
      </c>
      <c r="E36" s="2" t="s">
        <v>760</v>
      </c>
      <c r="F36" s="2" t="s">
        <v>634</v>
      </c>
      <c r="G36" s="15">
        <v>2</v>
      </c>
      <c r="H36" s="12" t="s">
        <v>663</v>
      </c>
      <c r="I36" s="5" t="s">
        <v>640</v>
      </c>
      <c r="J36" s="11">
        <v>250</v>
      </c>
      <c r="K36" s="15">
        <v>3</v>
      </c>
      <c r="L36" s="15">
        <v>2</v>
      </c>
      <c r="M36" s="24" t="s">
        <v>704</v>
      </c>
      <c r="N36" s="15">
        <v>510</v>
      </c>
      <c r="O36" s="15">
        <v>450</v>
      </c>
      <c r="P36" s="15">
        <v>450</v>
      </c>
      <c r="Q36" s="44"/>
      <c r="R36" s="15">
        <f t="shared" si="0"/>
        <v>10.8</v>
      </c>
      <c r="S36" s="15">
        <f t="shared" si="0"/>
        <v>10.8</v>
      </c>
      <c r="T36" s="15"/>
      <c r="U36" s="20" t="s">
        <v>638</v>
      </c>
      <c r="V36" s="20" t="s">
        <v>89</v>
      </c>
      <c r="W36" s="129" t="s">
        <v>640</v>
      </c>
      <c r="X36" s="20" t="s">
        <v>641</v>
      </c>
      <c r="Y36" s="20" t="s">
        <v>639</v>
      </c>
      <c r="Z36" s="20" t="s">
        <v>653</v>
      </c>
      <c r="AA36" s="129" t="s">
        <v>641</v>
      </c>
      <c r="AB36" s="20" t="s">
        <v>641</v>
      </c>
      <c r="AC36" s="20" t="s">
        <v>761</v>
      </c>
      <c r="AD36" s="20">
        <v>250</v>
      </c>
      <c r="AE36" s="20" t="s">
        <v>641</v>
      </c>
      <c r="AF36" s="84" t="s">
        <v>640</v>
      </c>
      <c r="AG36" s="83" t="s">
        <v>762</v>
      </c>
      <c r="AH36" s="83" t="s">
        <v>763</v>
      </c>
    </row>
    <row r="37" spans="1:34" ht="60">
      <c r="A37" s="17">
        <f t="shared" si="4"/>
        <v>34</v>
      </c>
      <c r="B37" s="3" t="s">
        <v>727</v>
      </c>
      <c r="C37" s="2" t="s">
        <v>194</v>
      </c>
      <c r="D37" s="127" t="s">
        <v>124</v>
      </c>
      <c r="E37" s="2" t="s">
        <v>764</v>
      </c>
      <c r="F37" s="2" t="s">
        <v>634</v>
      </c>
      <c r="G37" s="15">
        <v>4</v>
      </c>
      <c r="H37" s="12" t="s">
        <v>686</v>
      </c>
      <c r="I37" s="4" t="s">
        <v>636</v>
      </c>
      <c r="J37" s="4"/>
      <c r="K37" s="15">
        <v>3</v>
      </c>
      <c r="L37" s="15">
        <v>2</v>
      </c>
      <c r="M37" s="24" t="s">
        <v>704</v>
      </c>
      <c r="N37" s="15">
        <v>511</v>
      </c>
      <c r="O37" s="15">
        <v>511</v>
      </c>
      <c r="P37" s="15">
        <v>511</v>
      </c>
      <c r="Q37" s="44"/>
      <c r="R37" s="15">
        <f t="shared" si="0"/>
        <v>12.263999999999999</v>
      </c>
      <c r="S37" s="15">
        <f t="shared" si="0"/>
        <v>12.263999999999999</v>
      </c>
      <c r="T37" s="15"/>
      <c r="U37" s="20" t="s">
        <v>638</v>
      </c>
      <c r="V37" s="20" t="s">
        <v>649</v>
      </c>
      <c r="W37" s="129" t="s">
        <v>640</v>
      </c>
      <c r="X37" s="20" t="s">
        <v>640</v>
      </c>
      <c r="Y37" s="20" t="s">
        <v>89</v>
      </c>
      <c r="Z37" s="84" t="s">
        <v>331</v>
      </c>
      <c r="AA37" s="129" t="s">
        <v>641</v>
      </c>
      <c r="AB37" s="20" t="s">
        <v>640</v>
      </c>
      <c r="AC37" s="86" t="s">
        <v>696</v>
      </c>
      <c r="AD37" s="20">
        <v>375</v>
      </c>
      <c r="AE37" s="20" t="s">
        <v>641</v>
      </c>
      <c r="AF37" s="84" t="s">
        <v>640</v>
      </c>
      <c r="AG37" s="83" t="s">
        <v>765</v>
      </c>
      <c r="AH37" s="83" t="s">
        <v>766</v>
      </c>
    </row>
    <row r="38" spans="1:34" ht="45">
      <c r="A38" s="17">
        <f t="shared" si="4"/>
        <v>35</v>
      </c>
      <c r="B38" s="3" t="s">
        <v>727</v>
      </c>
      <c r="C38" s="2" t="s">
        <v>195</v>
      </c>
      <c r="D38" s="127" t="s">
        <v>124</v>
      </c>
      <c r="E38" s="2" t="s">
        <v>767</v>
      </c>
      <c r="F38" s="2" t="s">
        <v>634</v>
      </c>
      <c r="G38" s="15">
        <v>1</v>
      </c>
      <c r="H38" s="12" t="s">
        <v>635</v>
      </c>
      <c r="I38" s="4" t="s">
        <v>636</v>
      </c>
      <c r="J38" s="4"/>
      <c r="K38" s="15">
        <v>2</v>
      </c>
      <c r="L38" s="15" t="s">
        <v>637</v>
      </c>
      <c r="M38" s="13" t="s">
        <v>637</v>
      </c>
      <c r="N38" s="15">
        <v>137</v>
      </c>
      <c r="O38" s="15">
        <v>137</v>
      </c>
      <c r="P38" s="15">
        <v>137</v>
      </c>
      <c r="Q38" s="44"/>
      <c r="R38" s="15">
        <f t="shared" si="0"/>
        <v>3.2879999999999998</v>
      </c>
      <c r="S38" s="15">
        <f t="shared" si="0"/>
        <v>3.2879999999999998</v>
      </c>
      <c r="T38" s="15"/>
      <c r="U38" s="20" t="s">
        <v>638</v>
      </c>
      <c r="V38" s="20" t="s">
        <v>639</v>
      </c>
      <c r="W38" s="129" t="s">
        <v>640</v>
      </c>
      <c r="X38" s="20" t="s">
        <v>641</v>
      </c>
      <c r="Y38" s="20" t="s">
        <v>639</v>
      </c>
      <c r="Z38" s="84" t="s">
        <v>331</v>
      </c>
      <c r="AA38" s="129" t="s">
        <v>641</v>
      </c>
      <c r="AB38" s="20" t="s">
        <v>640</v>
      </c>
      <c r="AC38" s="20" t="s">
        <v>768</v>
      </c>
      <c r="AD38" s="20">
        <v>200</v>
      </c>
      <c r="AE38" s="20" t="s">
        <v>641</v>
      </c>
      <c r="AF38" s="84" t="s">
        <v>640</v>
      </c>
      <c r="AG38" s="83" t="s">
        <v>769</v>
      </c>
      <c r="AH38" s="83" t="s">
        <v>770</v>
      </c>
    </row>
    <row r="39" spans="1:34" ht="45">
      <c r="A39" s="17">
        <f t="shared" si="4"/>
        <v>36</v>
      </c>
      <c r="B39" s="3" t="s">
        <v>771</v>
      </c>
      <c r="C39" s="2" t="s">
        <v>196</v>
      </c>
      <c r="D39" s="127" t="s">
        <v>124</v>
      </c>
      <c r="E39" s="2" t="s">
        <v>772</v>
      </c>
      <c r="F39" s="2" t="s">
        <v>634</v>
      </c>
      <c r="G39" s="15">
        <v>3</v>
      </c>
      <c r="H39" s="12" t="s">
        <v>647</v>
      </c>
      <c r="I39" s="4" t="s">
        <v>636</v>
      </c>
      <c r="J39" s="4"/>
      <c r="K39" s="15">
        <v>3</v>
      </c>
      <c r="L39" s="15">
        <v>2</v>
      </c>
      <c r="M39" s="24" t="s">
        <v>773</v>
      </c>
      <c r="N39" s="15">
        <v>557.67758209228521</v>
      </c>
      <c r="O39" s="15">
        <v>557.67758209228521</v>
      </c>
      <c r="P39" s="15">
        <v>557.67758209228521</v>
      </c>
      <c r="Q39" s="44"/>
      <c r="R39" s="15">
        <f t="shared" si="0"/>
        <v>13.384261970214844</v>
      </c>
      <c r="S39" s="15">
        <f t="shared" si="0"/>
        <v>13.384261970214844</v>
      </c>
      <c r="T39" s="15"/>
      <c r="U39" s="20" t="s">
        <v>638</v>
      </c>
      <c r="V39" s="20" t="s">
        <v>649</v>
      </c>
      <c r="W39" s="129" t="s">
        <v>640</v>
      </c>
      <c r="X39" s="20" t="s">
        <v>641</v>
      </c>
      <c r="Y39" s="20" t="s">
        <v>639</v>
      </c>
      <c r="Z39" s="20" t="s">
        <v>653</v>
      </c>
      <c r="AA39" s="129" t="s">
        <v>641</v>
      </c>
      <c r="AB39" s="20" t="s">
        <v>641</v>
      </c>
      <c r="AC39" s="20" t="s">
        <v>761</v>
      </c>
      <c r="AD39" s="20">
        <v>300</v>
      </c>
      <c r="AE39" s="20" t="s">
        <v>641</v>
      </c>
      <c r="AF39" s="84" t="s">
        <v>640</v>
      </c>
      <c r="AG39" s="83" t="s">
        <v>774</v>
      </c>
      <c r="AH39" s="83" t="s">
        <v>775</v>
      </c>
    </row>
    <row r="40" spans="1:34" ht="60">
      <c r="A40" s="17">
        <f t="shared" si="4"/>
        <v>37</v>
      </c>
      <c r="B40" s="3" t="s">
        <v>771</v>
      </c>
      <c r="C40" s="2" t="s">
        <v>197</v>
      </c>
      <c r="D40" s="127" t="s">
        <v>124</v>
      </c>
      <c r="E40" s="2" t="s">
        <v>776</v>
      </c>
      <c r="F40" s="2" t="s">
        <v>634</v>
      </c>
      <c r="G40" s="15">
        <v>1</v>
      </c>
      <c r="H40" s="12" t="s">
        <v>635</v>
      </c>
      <c r="I40" s="4" t="s">
        <v>636</v>
      </c>
      <c r="J40" s="4"/>
      <c r="K40" s="15">
        <v>1</v>
      </c>
      <c r="L40" s="15" t="s">
        <v>637</v>
      </c>
      <c r="M40" s="13" t="s">
        <v>637</v>
      </c>
      <c r="N40" s="15">
        <v>249</v>
      </c>
      <c r="O40" s="15">
        <v>120</v>
      </c>
      <c r="P40" s="15">
        <v>120</v>
      </c>
      <c r="Q40" s="44"/>
      <c r="R40" s="15">
        <f t="shared" si="0"/>
        <v>2.88</v>
      </c>
      <c r="S40" s="15">
        <f t="shared" si="0"/>
        <v>2.88</v>
      </c>
      <c r="T40" s="15"/>
      <c r="U40" s="20" t="s">
        <v>638</v>
      </c>
      <c r="V40" s="20" t="s">
        <v>639</v>
      </c>
      <c r="W40" s="129" t="s">
        <v>640</v>
      </c>
      <c r="X40" s="20" t="s">
        <v>641</v>
      </c>
      <c r="Y40" s="20" t="s">
        <v>639</v>
      </c>
      <c r="Z40" s="84" t="s">
        <v>331</v>
      </c>
      <c r="AA40" s="129" t="s">
        <v>641</v>
      </c>
      <c r="AB40" s="20" t="s">
        <v>640</v>
      </c>
      <c r="AC40" s="20">
        <v>5</v>
      </c>
      <c r="AD40" s="20">
        <v>200</v>
      </c>
      <c r="AE40" s="20" t="s">
        <v>640</v>
      </c>
      <c r="AF40" s="84" t="s">
        <v>640</v>
      </c>
      <c r="AG40" s="83" t="s">
        <v>777</v>
      </c>
      <c r="AH40" s="83" t="s">
        <v>778</v>
      </c>
    </row>
    <row r="41" spans="1:34" ht="30">
      <c r="A41" s="17">
        <f t="shared" si="4"/>
        <v>38</v>
      </c>
      <c r="B41" s="3" t="s">
        <v>779</v>
      </c>
      <c r="C41" s="2" t="s">
        <v>198</v>
      </c>
      <c r="D41" s="127" t="s">
        <v>124</v>
      </c>
      <c r="E41" s="2" t="s">
        <v>780</v>
      </c>
      <c r="F41" s="2" t="s">
        <v>634</v>
      </c>
      <c r="G41" s="15">
        <v>2</v>
      </c>
      <c r="H41" s="12" t="s">
        <v>663</v>
      </c>
      <c r="I41" s="5" t="s">
        <v>640</v>
      </c>
      <c r="J41" s="5">
        <v>180</v>
      </c>
      <c r="K41" s="15">
        <v>3</v>
      </c>
      <c r="L41" s="15">
        <v>2</v>
      </c>
      <c r="M41" s="24" t="s">
        <v>781</v>
      </c>
      <c r="N41" s="15">
        <v>634</v>
      </c>
      <c r="O41" s="15">
        <v>666.66666666666663</v>
      </c>
      <c r="P41" s="15">
        <v>666.66666666666663</v>
      </c>
      <c r="Q41" s="33" t="s">
        <v>782</v>
      </c>
      <c r="R41" s="15">
        <f t="shared" si="0"/>
        <v>16</v>
      </c>
      <c r="S41" s="15">
        <f t="shared" si="0"/>
        <v>16</v>
      </c>
      <c r="T41" s="15"/>
      <c r="U41" s="20" t="s">
        <v>638</v>
      </c>
      <c r="V41" s="20" t="s">
        <v>639</v>
      </c>
      <c r="W41" s="129" t="s">
        <v>640</v>
      </c>
      <c r="X41" s="20" t="s">
        <v>641</v>
      </c>
      <c r="Y41" s="20" t="s">
        <v>639</v>
      </c>
      <c r="Z41" s="84" t="s">
        <v>331</v>
      </c>
      <c r="AA41" s="129" t="s">
        <v>641</v>
      </c>
      <c r="AB41" s="20" t="s">
        <v>640</v>
      </c>
      <c r="AC41" s="20" t="s">
        <v>783</v>
      </c>
      <c r="AD41" s="20">
        <v>300</v>
      </c>
      <c r="AE41" s="20" t="s">
        <v>640</v>
      </c>
      <c r="AF41" s="84" t="s">
        <v>640</v>
      </c>
      <c r="AG41" s="83" t="s">
        <v>784</v>
      </c>
      <c r="AH41" s="83"/>
    </row>
    <row r="42" spans="1:34" ht="45">
      <c r="A42" s="17">
        <f t="shared" si="4"/>
        <v>39</v>
      </c>
      <c r="B42" s="3" t="s">
        <v>779</v>
      </c>
      <c r="C42" s="2" t="s">
        <v>199</v>
      </c>
      <c r="D42" s="127" t="s">
        <v>124</v>
      </c>
      <c r="E42" s="2" t="s">
        <v>785</v>
      </c>
      <c r="F42" s="2" t="s">
        <v>634</v>
      </c>
      <c r="G42" s="15">
        <v>2</v>
      </c>
      <c r="H42" s="12" t="s">
        <v>663</v>
      </c>
      <c r="I42" s="5" t="s">
        <v>640</v>
      </c>
      <c r="J42" s="5">
        <v>400</v>
      </c>
      <c r="K42" s="15">
        <v>3</v>
      </c>
      <c r="L42" s="15">
        <v>3</v>
      </c>
      <c r="M42" s="24" t="s">
        <v>786</v>
      </c>
      <c r="N42" s="15">
        <v>639</v>
      </c>
      <c r="O42" s="15">
        <v>545</v>
      </c>
      <c r="P42" s="15">
        <v>545</v>
      </c>
      <c r="Q42" s="44"/>
      <c r="R42" s="15">
        <f t="shared" si="0"/>
        <v>13.08</v>
      </c>
      <c r="S42" s="15">
        <f t="shared" si="0"/>
        <v>13.08</v>
      </c>
      <c r="T42" s="15" t="s">
        <v>640</v>
      </c>
      <c r="U42" s="20" t="s">
        <v>638</v>
      </c>
      <c r="V42" s="20" t="s">
        <v>89</v>
      </c>
      <c r="W42" s="129" t="s">
        <v>640</v>
      </c>
      <c r="X42" s="20" t="s">
        <v>641</v>
      </c>
      <c r="Y42" s="20" t="s">
        <v>89</v>
      </c>
      <c r="Z42" s="84" t="s">
        <v>331</v>
      </c>
      <c r="AA42" s="129" t="s">
        <v>641</v>
      </c>
      <c r="AB42" s="20" t="s">
        <v>640</v>
      </c>
      <c r="AC42" s="86" t="s">
        <v>696</v>
      </c>
      <c r="AD42" s="20">
        <v>250</v>
      </c>
      <c r="AE42" s="20" t="s">
        <v>640</v>
      </c>
      <c r="AF42" s="84" t="s">
        <v>640</v>
      </c>
      <c r="AG42" s="83" t="s">
        <v>787</v>
      </c>
      <c r="AH42" s="83" t="s">
        <v>788</v>
      </c>
    </row>
    <row r="43" spans="1:34" ht="45">
      <c r="A43" s="17">
        <f>A42+1</f>
        <v>40</v>
      </c>
      <c r="B43" s="3" t="s">
        <v>201</v>
      </c>
      <c r="C43" s="2" t="s">
        <v>200</v>
      </c>
      <c r="D43" s="127" t="s">
        <v>124</v>
      </c>
      <c r="E43" s="2" t="s">
        <v>789</v>
      </c>
      <c r="F43" s="2" t="s">
        <v>634</v>
      </c>
      <c r="G43" s="15">
        <v>4</v>
      </c>
      <c r="H43" s="12" t="s">
        <v>686</v>
      </c>
      <c r="I43" s="4" t="s">
        <v>636</v>
      </c>
      <c r="J43" s="4"/>
      <c r="K43" s="15">
        <v>2</v>
      </c>
      <c r="L43" s="15">
        <v>2</v>
      </c>
      <c r="M43" s="24" t="s">
        <v>790</v>
      </c>
      <c r="N43" s="15">
        <v>412</v>
      </c>
      <c r="O43" s="15">
        <v>440</v>
      </c>
      <c r="P43" s="15">
        <v>440</v>
      </c>
      <c r="Q43" s="44"/>
      <c r="R43" s="15">
        <f t="shared" si="0"/>
        <v>10.56</v>
      </c>
      <c r="S43" s="15">
        <f t="shared" si="0"/>
        <v>10.56</v>
      </c>
      <c r="T43" s="15"/>
      <c r="U43" s="20" t="s">
        <v>638</v>
      </c>
      <c r="V43" s="20" t="s">
        <v>649</v>
      </c>
      <c r="W43" s="129" t="s">
        <v>640</v>
      </c>
      <c r="X43" s="20" t="s">
        <v>641</v>
      </c>
      <c r="Y43" s="20" t="s">
        <v>639</v>
      </c>
      <c r="Z43" s="20" t="s">
        <v>653</v>
      </c>
      <c r="AA43" s="129" t="s">
        <v>641</v>
      </c>
      <c r="AB43" s="20" t="s">
        <v>641</v>
      </c>
      <c r="AC43" s="20">
        <v>19</v>
      </c>
      <c r="AD43" s="20">
        <v>300</v>
      </c>
      <c r="AE43" s="20" t="s">
        <v>641</v>
      </c>
      <c r="AF43" s="84" t="s">
        <v>640</v>
      </c>
      <c r="AG43" s="83" t="s">
        <v>791</v>
      </c>
      <c r="AH43" s="83" t="s">
        <v>775</v>
      </c>
    </row>
    <row r="44" spans="1:34" ht="45">
      <c r="A44" s="17">
        <f>A43+1</f>
        <v>41</v>
      </c>
      <c r="B44" s="3" t="s">
        <v>201</v>
      </c>
      <c r="C44" s="2" t="s">
        <v>201</v>
      </c>
      <c r="D44" s="127" t="s">
        <v>124</v>
      </c>
      <c r="E44" s="2" t="s">
        <v>792</v>
      </c>
      <c r="F44" s="2" t="s">
        <v>634</v>
      </c>
      <c r="G44" s="15">
        <v>4</v>
      </c>
      <c r="H44" s="12" t="s">
        <v>686</v>
      </c>
      <c r="I44" s="4" t="s">
        <v>636</v>
      </c>
      <c r="J44" s="4"/>
      <c r="K44" s="15">
        <v>3</v>
      </c>
      <c r="L44" s="15">
        <v>3</v>
      </c>
      <c r="M44" s="24" t="s">
        <v>793</v>
      </c>
      <c r="N44" s="15">
        <v>499</v>
      </c>
      <c r="O44" s="15">
        <v>500</v>
      </c>
      <c r="P44" s="15">
        <v>500</v>
      </c>
      <c r="Q44" s="44"/>
      <c r="R44" s="15">
        <f t="shared" si="0"/>
        <v>12</v>
      </c>
      <c r="S44" s="15">
        <f t="shared" si="0"/>
        <v>12</v>
      </c>
      <c r="T44" s="15"/>
      <c r="U44" s="20" t="s">
        <v>638</v>
      </c>
      <c r="V44" s="20" t="s">
        <v>649</v>
      </c>
      <c r="W44" s="129" t="s">
        <v>640</v>
      </c>
      <c r="X44" s="20" t="s">
        <v>641</v>
      </c>
      <c r="Y44" s="20" t="s">
        <v>639</v>
      </c>
      <c r="Z44" s="20" t="s">
        <v>653</v>
      </c>
      <c r="AA44" s="129" t="s">
        <v>641</v>
      </c>
      <c r="AB44" s="20" t="s">
        <v>641</v>
      </c>
      <c r="AC44" s="20" t="s">
        <v>761</v>
      </c>
      <c r="AD44" s="20">
        <v>300</v>
      </c>
      <c r="AE44" s="20" t="s">
        <v>641</v>
      </c>
      <c r="AF44" s="84" t="s">
        <v>640</v>
      </c>
      <c r="AG44" s="83" t="s">
        <v>794</v>
      </c>
      <c r="AH44" s="83"/>
    </row>
    <row r="45" spans="1:34" ht="30">
      <c r="A45" s="17">
        <f>A44+1</f>
        <v>42</v>
      </c>
      <c r="B45" s="3" t="s">
        <v>201</v>
      </c>
      <c r="C45" s="2" t="s">
        <v>202</v>
      </c>
      <c r="D45" s="2" t="s">
        <v>124</v>
      </c>
      <c r="E45" s="2" t="s">
        <v>795</v>
      </c>
      <c r="F45" s="2" t="s">
        <v>634</v>
      </c>
      <c r="G45" s="15">
        <v>2</v>
      </c>
      <c r="H45" s="12" t="s">
        <v>663</v>
      </c>
      <c r="I45" s="5" t="s">
        <v>640</v>
      </c>
      <c r="J45" s="5">
        <v>500</v>
      </c>
      <c r="K45" s="15">
        <v>4</v>
      </c>
      <c r="L45" s="15">
        <v>3</v>
      </c>
      <c r="M45" s="24" t="s">
        <v>796</v>
      </c>
      <c r="N45" s="15">
        <v>768</v>
      </c>
      <c r="O45" s="15">
        <v>768</v>
      </c>
      <c r="P45" s="15">
        <v>768</v>
      </c>
      <c r="Q45" s="44"/>
      <c r="R45" s="15">
        <f t="shared" si="0"/>
        <v>18.431999999999999</v>
      </c>
      <c r="S45" s="15">
        <f t="shared" si="0"/>
        <v>18.431999999999999</v>
      </c>
      <c r="T45" s="15"/>
      <c r="U45" s="20" t="s">
        <v>638</v>
      </c>
      <c r="V45" s="20" t="s">
        <v>639</v>
      </c>
      <c r="W45" s="129" t="s">
        <v>640</v>
      </c>
      <c r="X45" s="20" t="s">
        <v>641</v>
      </c>
      <c r="Y45" s="20" t="s">
        <v>639</v>
      </c>
      <c r="Z45" s="84" t="s">
        <v>331</v>
      </c>
      <c r="AA45" s="129" t="s">
        <v>641</v>
      </c>
      <c r="AB45" s="20" t="s">
        <v>641</v>
      </c>
      <c r="AC45" s="86" t="s">
        <v>696</v>
      </c>
      <c r="AD45" s="20">
        <v>300</v>
      </c>
      <c r="AE45" s="20" t="s">
        <v>641</v>
      </c>
      <c r="AF45" s="84" t="s">
        <v>640</v>
      </c>
      <c r="AG45" s="83" t="s">
        <v>797</v>
      </c>
      <c r="AH45" s="83" t="s">
        <v>798</v>
      </c>
    </row>
    <row r="46" spans="1:34" s="1" customFormat="1" ht="30">
      <c r="A46" s="17">
        <f t="shared" ref="A46:A47" si="5">A45+1</f>
        <v>43</v>
      </c>
      <c r="B46" s="8" t="s">
        <v>799</v>
      </c>
      <c r="C46" s="2" t="s">
        <v>203</v>
      </c>
      <c r="D46" s="317" t="s">
        <v>123</v>
      </c>
      <c r="E46" s="2" t="s">
        <v>800</v>
      </c>
      <c r="F46" s="2" t="s">
        <v>634</v>
      </c>
      <c r="G46" s="15">
        <v>1</v>
      </c>
      <c r="H46" s="12" t="s">
        <v>635</v>
      </c>
      <c r="I46" s="10" t="s">
        <v>636</v>
      </c>
      <c r="J46" s="10"/>
      <c r="K46" s="15">
        <v>1</v>
      </c>
      <c r="L46" s="15" t="s">
        <v>637</v>
      </c>
      <c r="M46" s="13" t="s">
        <v>637</v>
      </c>
      <c r="N46" s="15">
        <v>142</v>
      </c>
      <c r="O46" s="15">
        <v>180</v>
      </c>
      <c r="P46" s="15">
        <v>180</v>
      </c>
      <c r="Q46" s="44"/>
      <c r="R46" s="15">
        <f t="shared" si="0"/>
        <v>4.32</v>
      </c>
      <c r="S46" s="15">
        <f t="shared" si="0"/>
        <v>4.32</v>
      </c>
      <c r="T46" s="15"/>
      <c r="U46" s="20" t="s">
        <v>680</v>
      </c>
      <c r="V46" s="20" t="s">
        <v>639</v>
      </c>
      <c r="W46" s="129" t="s">
        <v>640</v>
      </c>
      <c r="X46" s="20" t="s">
        <v>641</v>
      </c>
      <c r="Y46" s="20" t="s">
        <v>639</v>
      </c>
      <c r="Z46" s="84" t="s">
        <v>331</v>
      </c>
      <c r="AA46" s="129" t="s">
        <v>641</v>
      </c>
      <c r="AB46" s="20" t="s">
        <v>640</v>
      </c>
      <c r="AC46" s="20">
        <v>25</v>
      </c>
      <c r="AD46" s="20">
        <v>200</v>
      </c>
      <c r="AE46" s="20" t="s">
        <v>641</v>
      </c>
      <c r="AF46" s="84" t="s">
        <v>640</v>
      </c>
      <c r="AG46" s="83" t="s">
        <v>801</v>
      </c>
      <c r="AH46" s="83"/>
    </row>
    <row r="47" spans="1:34" s="1" customFormat="1" ht="30">
      <c r="A47" s="17">
        <f t="shared" si="5"/>
        <v>44</v>
      </c>
      <c r="B47" s="8" t="s">
        <v>799</v>
      </c>
      <c r="C47" s="2" t="s">
        <v>204</v>
      </c>
      <c r="D47" s="317" t="s">
        <v>123</v>
      </c>
      <c r="E47" s="2" t="s">
        <v>802</v>
      </c>
      <c r="F47" s="2" t="s">
        <v>634</v>
      </c>
      <c r="G47" s="15">
        <v>1</v>
      </c>
      <c r="H47" s="12" t="s">
        <v>635</v>
      </c>
      <c r="I47" s="10" t="s">
        <v>636</v>
      </c>
      <c r="J47" s="10"/>
      <c r="K47" s="15">
        <v>1</v>
      </c>
      <c r="L47" s="15" t="s">
        <v>637</v>
      </c>
      <c r="M47" s="13" t="s">
        <v>637</v>
      </c>
      <c r="N47" s="15">
        <v>112</v>
      </c>
      <c r="O47" s="15">
        <v>108</v>
      </c>
      <c r="P47" s="15">
        <v>108</v>
      </c>
      <c r="Q47" s="44"/>
      <c r="R47" s="15">
        <f t="shared" si="0"/>
        <v>2.5920000000000001</v>
      </c>
      <c r="S47" s="15">
        <f t="shared" si="0"/>
        <v>2.5920000000000001</v>
      </c>
      <c r="T47" s="15"/>
      <c r="U47" s="20" t="s">
        <v>638</v>
      </c>
      <c r="V47" s="20" t="s">
        <v>639</v>
      </c>
      <c r="W47" s="129" t="s">
        <v>640</v>
      </c>
      <c r="X47" s="20" t="s">
        <v>641</v>
      </c>
      <c r="Y47" s="20" t="s">
        <v>639</v>
      </c>
      <c r="Z47" s="20" t="s">
        <v>688</v>
      </c>
      <c r="AA47" s="129" t="s">
        <v>641</v>
      </c>
      <c r="AB47" s="20" t="s">
        <v>641</v>
      </c>
      <c r="AC47" s="20" t="s">
        <v>803</v>
      </c>
      <c r="AD47" s="20">
        <v>200</v>
      </c>
      <c r="AE47" s="20" t="s">
        <v>641</v>
      </c>
      <c r="AF47" s="84" t="s">
        <v>640</v>
      </c>
      <c r="AG47" s="83" t="s">
        <v>801</v>
      </c>
      <c r="AH47" s="83"/>
    </row>
    <row r="48" spans="1:34" s="1" customFormat="1" ht="48.75">
      <c r="A48" s="17">
        <v>45</v>
      </c>
      <c r="B48" s="8"/>
      <c r="C48" s="2" t="s">
        <v>205</v>
      </c>
      <c r="D48" s="2" t="s">
        <v>122</v>
      </c>
      <c r="E48" s="2" t="s">
        <v>804</v>
      </c>
      <c r="F48" s="2" t="s">
        <v>634</v>
      </c>
      <c r="G48" s="15"/>
      <c r="H48" s="12"/>
      <c r="I48" s="10"/>
      <c r="J48" s="10"/>
      <c r="K48" s="15"/>
      <c r="L48" s="15"/>
      <c r="M48" s="13"/>
      <c r="N48" s="15"/>
      <c r="O48" s="15">
        <f>2100*1/24</f>
        <v>87.5</v>
      </c>
      <c r="P48" s="15">
        <f>2100/24</f>
        <v>87.5</v>
      </c>
      <c r="Q48" s="33" t="s">
        <v>805</v>
      </c>
      <c r="R48" s="15">
        <f t="shared" si="0"/>
        <v>2.1</v>
      </c>
      <c r="S48" s="15">
        <f t="shared" si="0"/>
        <v>2.1</v>
      </c>
      <c r="T48" s="15"/>
      <c r="U48" s="20" t="s">
        <v>680</v>
      </c>
      <c r="V48" s="20" t="s">
        <v>639</v>
      </c>
      <c r="W48" s="129" t="s">
        <v>640</v>
      </c>
      <c r="X48" s="20" t="s">
        <v>641</v>
      </c>
      <c r="Y48" s="20" t="s">
        <v>641</v>
      </c>
      <c r="Z48" s="20" t="s">
        <v>688</v>
      </c>
      <c r="AA48" s="129" t="s">
        <v>641</v>
      </c>
      <c r="AB48" s="20" t="s">
        <v>641</v>
      </c>
      <c r="AC48" s="20"/>
      <c r="AD48" s="20"/>
      <c r="AE48" s="20" t="s">
        <v>641</v>
      </c>
      <c r="AF48" s="84" t="s">
        <v>640</v>
      </c>
      <c r="AG48" s="87" t="s">
        <v>806</v>
      </c>
      <c r="AH48" s="83" t="s">
        <v>807</v>
      </c>
    </row>
    <row r="49" spans="7:16">
      <c r="N49" s="80"/>
      <c r="O49" s="80"/>
    </row>
    <row r="53" spans="7:16">
      <c r="G53" s="15">
        <v>1</v>
      </c>
      <c r="H53" s="12" t="s">
        <v>635</v>
      </c>
    </row>
    <row r="54" spans="7:16">
      <c r="G54" s="15">
        <v>2</v>
      </c>
      <c r="H54" s="12" t="s">
        <v>663</v>
      </c>
    </row>
    <row r="55" spans="7:16">
      <c r="G55" s="15">
        <v>3</v>
      </c>
      <c r="H55" s="12" t="s">
        <v>647</v>
      </c>
    </row>
    <row r="56" spans="7:16">
      <c r="G56" s="15">
        <v>4</v>
      </c>
      <c r="H56" s="12" t="s">
        <v>686</v>
      </c>
      <c r="P56" s="64"/>
    </row>
    <row r="57" spans="7:16">
      <c r="P57" s="64"/>
    </row>
    <row r="58" spans="7:16">
      <c r="P58" s="65"/>
    </row>
  </sheetData>
  <sheetProtection algorithmName="SHA-512" hashValue="hMQniNcSWu20ws/xXJiUV9eCeuKpyrGgbRfYPY1eqedE+u0cDKqn8iT0K63o92pGfQ05S0NkliGaTkuGCB1mgQ==" saltValue="YNS+xyFL8hOo1DUqZAbcCQ==" spinCount="100000" sheet="1" objects="1" scenarios="1"/>
  <autoFilter ref="A3:AH48" xr:uid="{5606B339-96C9-4555-A8CA-FF7D5D88252C}"/>
  <conditionalFormatting sqref="G53:G56">
    <cfRule type="colorScale" priority="3">
      <colorScale>
        <cfvo type="min"/>
        <cfvo type="percentile" val="50"/>
        <cfvo type="max"/>
        <color theme="4"/>
        <color rgb="FFBEEA32"/>
        <color theme="5"/>
      </colorScale>
    </cfRule>
  </conditionalFormatting>
  <conditionalFormatting sqref="P4:P48">
    <cfRule type="colorScale" priority="19">
      <colorScale>
        <cfvo type="min"/>
        <cfvo type="max"/>
        <color rgb="FFFCFCFF"/>
        <color theme="4"/>
      </colorScale>
    </cfRule>
  </conditionalFormatting>
  <conditionalFormatting sqref="G4:G48">
    <cfRule type="colorScale" priority="21">
      <colorScale>
        <cfvo type="min"/>
        <cfvo type="percentile" val="50"/>
        <cfvo type="max"/>
        <color theme="4"/>
        <color rgb="FFBEEA32"/>
        <color theme="5"/>
      </colorScale>
    </cfRule>
  </conditionalFormatting>
  <pageMargins left="0.25" right="0.25" top="0.75" bottom="0.75" header="0.3" footer="0.3"/>
  <pageSetup paperSize="8" scale="92" fitToHeight="0"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FFDB-3A82-4523-B215-FDA80A01B39C}">
  <dimension ref="A1:J104"/>
  <sheetViews>
    <sheetView workbookViewId="0">
      <selection activeCell="B58" sqref="B58:B76"/>
    </sheetView>
  </sheetViews>
  <sheetFormatPr defaultRowHeight="15"/>
  <cols>
    <col min="1" max="1" width="4.42578125" customWidth="1"/>
    <col min="2" max="2" width="37.5703125" customWidth="1"/>
    <col min="4" max="4" width="16" style="75" customWidth="1"/>
    <col min="5" max="5" width="18.42578125" customWidth="1"/>
    <col min="6" max="6" width="16.42578125" bestFit="1" customWidth="1"/>
    <col min="7" max="7" width="15.42578125" bestFit="1" customWidth="1"/>
    <col min="8" max="8" width="19" customWidth="1"/>
    <col min="9" max="9" width="26" customWidth="1"/>
  </cols>
  <sheetData>
    <row r="1" spans="2:5">
      <c r="B1" s="468" t="s">
        <v>808</v>
      </c>
      <c r="C1" s="468"/>
      <c r="D1" s="468"/>
    </row>
    <row r="3" spans="2:5">
      <c r="B3" s="469" t="s">
        <v>809</v>
      </c>
      <c r="C3" s="469"/>
      <c r="D3" s="469"/>
      <c r="E3" s="79"/>
    </row>
    <row r="4" spans="2:5">
      <c r="B4" s="77" t="s">
        <v>810</v>
      </c>
      <c r="C4" s="77" t="s">
        <v>157</v>
      </c>
      <c r="D4" s="81" t="s">
        <v>811</v>
      </c>
      <c r="E4" s="79"/>
    </row>
    <row r="5" spans="2:5">
      <c r="B5" s="101" t="s">
        <v>812</v>
      </c>
      <c r="C5" s="60"/>
      <c r="D5" s="102">
        <v>1892</v>
      </c>
      <c r="E5" s="467" t="s">
        <v>284</v>
      </c>
    </row>
    <row r="6" spans="2:5">
      <c r="B6" s="103" t="s">
        <v>813</v>
      </c>
      <c r="C6" s="60"/>
      <c r="D6" s="104">
        <v>10543.9</v>
      </c>
      <c r="E6" s="467"/>
    </row>
    <row r="7" spans="2:5">
      <c r="B7" s="107" t="s">
        <v>814</v>
      </c>
      <c r="C7" s="105">
        <v>1</v>
      </c>
      <c r="D7" s="106"/>
      <c r="E7" s="467"/>
    </row>
    <row r="8" spans="2:5">
      <c r="B8" s="107" t="s">
        <v>815</v>
      </c>
      <c r="C8" s="105">
        <v>1</v>
      </c>
      <c r="D8" s="106"/>
      <c r="E8" s="467"/>
    </row>
    <row r="9" spans="2:5">
      <c r="B9" s="107" t="s">
        <v>816</v>
      </c>
      <c r="C9" s="105">
        <v>1</v>
      </c>
      <c r="D9" s="106"/>
      <c r="E9" s="467"/>
    </row>
    <row r="10" spans="2:5">
      <c r="B10" s="107" t="s">
        <v>817</v>
      </c>
      <c r="C10" s="105">
        <v>1</v>
      </c>
      <c r="D10" s="106"/>
      <c r="E10" s="467"/>
    </row>
    <row r="11" spans="2:5">
      <c r="B11" s="103" t="s">
        <v>818</v>
      </c>
      <c r="C11" s="105"/>
      <c r="D11" s="104"/>
      <c r="E11" s="467"/>
    </row>
    <row r="12" spans="2:5">
      <c r="B12" s="107" t="s">
        <v>283</v>
      </c>
      <c r="C12" s="105">
        <v>1</v>
      </c>
      <c r="D12" s="104">
        <v>968</v>
      </c>
      <c r="E12" s="467"/>
    </row>
    <row r="13" spans="2:5">
      <c r="B13" s="107" t="s">
        <v>819</v>
      </c>
      <c r="C13" s="105">
        <v>1</v>
      </c>
      <c r="D13" s="104">
        <v>408.91</v>
      </c>
      <c r="E13" s="467"/>
    </row>
    <row r="14" spans="2:5">
      <c r="B14" s="107" t="s">
        <v>288</v>
      </c>
      <c r="C14" s="105">
        <v>1</v>
      </c>
      <c r="D14" s="104">
        <v>2950</v>
      </c>
      <c r="E14" s="467"/>
    </row>
    <row r="15" spans="2:5">
      <c r="B15" s="107" t="s">
        <v>820</v>
      </c>
      <c r="C15" s="105">
        <v>1</v>
      </c>
      <c r="D15" s="104">
        <v>287</v>
      </c>
      <c r="E15" s="467"/>
    </row>
    <row r="16" spans="2:5">
      <c r="B16" s="103" t="s">
        <v>821</v>
      </c>
      <c r="C16" s="105"/>
      <c r="D16" s="104">
        <v>21392.3</v>
      </c>
      <c r="E16" s="467"/>
    </row>
    <row r="17" spans="2:9">
      <c r="B17" s="108" t="s">
        <v>249</v>
      </c>
      <c r="C17" s="105">
        <v>16</v>
      </c>
      <c r="D17" s="109"/>
      <c r="E17" s="467"/>
    </row>
    <row r="18" spans="2:9">
      <c r="B18" s="108" t="s">
        <v>822</v>
      </c>
      <c r="C18" s="105">
        <v>1</v>
      </c>
      <c r="D18" s="109"/>
      <c r="E18" s="467"/>
    </row>
    <row r="19" spans="2:9" ht="42" customHeight="1">
      <c r="B19" s="108" t="s">
        <v>823</v>
      </c>
      <c r="C19" s="105">
        <v>1</v>
      </c>
      <c r="D19" s="109"/>
      <c r="E19" s="467"/>
    </row>
    <row r="20" spans="2:9">
      <c r="B20" s="108" t="s">
        <v>824</v>
      </c>
      <c r="C20" s="105">
        <v>1</v>
      </c>
      <c r="D20" s="109"/>
      <c r="E20" s="467"/>
    </row>
    <row r="21" spans="2:9">
      <c r="B21" s="108" t="s">
        <v>825</v>
      </c>
      <c r="C21" s="105">
        <v>1</v>
      </c>
      <c r="D21" s="109"/>
      <c r="E21" s="467"/>
    </row>
    <row r="22" spans="2:9" ht="51.75">
      <c r="B22" s="110" t="s">
        <v>826</v>
      </c>
      <c r="C22" s="105">
        <v>1</v>
      </c>
      <c r="D22" s="109"/>
      <c r="E22" s="467"/>
    </row>
    <row r="23" spans="2:9">
      <c r="B23" s="108" t="s">
        <v>827</v>
      </c>
      <c r="C23" s="105">
        <v>1</v>
      </c>
      <c r="D23" s="109"/>
      <c r="E23" s="467"/>
    </row>
    <row r="24" spans="2:9">
      <c r="B24" s="108" t="s">
        <v>828</v>
      </c>
      <c r="C24" s="105">
        <v>1</v>
      </c>
      <c r="D24" s="109"/>
      <c r="E24" s="467"/>
    </row>
    <row r="25" spans="2:9">
      <c r="B25" s="108" t="s">
        <v>829</v>
      </c>
      <c r="C25" s="60"/>
      <c r="D25" s="109"/>
      <c r="E25" s="467"/>
    </row>
    <row r="26" spans="2:9">
      <c r="B26" s="108" t="s">
        <v>830</v>
      </c>
      <c r="C26" s="60"/>
      <c r="D26" s="109"/>
      <c r="E26" s="467"/>
    </row>
    <row r="27" spans="2:9">
      <c r="B27" s="108" t="s">
        <v>831</v>
      </c>
      <c r="C27" s="60"/>
      <c r="D27" s="111"/>
      <c r="E27" s="467"/>
    </row>
    <row r="28" spans="2:9">
      <c r="B28" s="108" t="s">
        <v>832</v>
      </c>
      <c r="C28" s="60"/>
      <c r="D28" s="111"/>
      <c r="E28" s="467"/>
    </row>
    <row r="29" spans="2:9">
      <c r="E29" s="79"/>
    </row>
    <row r="30" spans="2:9">
      <c r="B30" s="469" t="s">
        <v>809</v>
      </c>
      <c r="C30" s="469"/>
      <c r="D30" s="469"/>
      <c r="E30" s="469"/>
      <c r="F30" s="469"/>
      <c r="G30" s="469"/>
      <c r="H30" s="469"/>
      <c r="I30" t="s">
        <v>159</v>
      </c>
    </row>
    <row r="32" spans="2:9">
      <c r="B32" s="77" t="s">
        <v>833</v>
      </c>
      <c r="D32" s="78"/>
      <c r="E32" s="78"/>
      <c r="F32" s="78"/>
      <c r="G32" s="78"/>
      <c r="H32" s="76" t="s">
        <v>834</v>
      </c>
    </row>
    <row r="33" spans="2:9">
      <c r="B33" s="78" t="s">
        <v>835</v>
      </c>
      <c r="D33" s="78" t="s">
        <v>836</v>
      </c>
      <c r="E33" s="78" t="s">
        <v>837</v>
      </c>
      <c r="F33" s="78" t="s">
        <v>838</v>
      </c>
      <c r="G33" s="78" t="s">
        <v>839</v>
      </c>
      <c r="H33" s="78"/>
    </row>
    <row r="34" spans="2:9">
      <c r="B34" s="78" t="s">
        <v>840</v>
      </c>
      <c r="D34" s="118">
        <v>6000</v>
      </c>
      <c r="E34" s="118">
        <v>15000</v>
      </c>
      <c r="F34" s="118">
        <v>30000</v>
      </c>
      <c r="G34" s="118">
        <v>45000</v>
      </c>
      <c r="H34" s="76" t="s">
        <v>841</v>
      </c>
    </row>
    <row r="35" spans="2:9">
      <c r="B35" s="147" t="s">
        <v>207</v>
      </c>
      <c r="C35" s="148"/>
      <c r="D35" s="147">
        <f>D34/24</f>
        <v>250</v>
      </c>
      <c r="E35" s="147">
        <f t="shared" ref="E35:G35" si="0">E34/24</f>
        <v>625</v>
      </c>
      <c r="F35" s="147">
        <f t="shared" si="0"/>
        <v>1250</v>
      </c>
      <c r="G35" s="147">
        <f t="shared" si="0"/>
        <v>1875</v>
      </c>
      <c r="H35" s="147"/>
    </row>
    <row r="36" spans="2:9">
      <c r="B36" s="78"/>
      <c r="D36" s="78"/>
      <c r="E36" s="78"/>
      <c r="F36" s="78"/>
      <c r="G36" s="78"/>
      <c r="H36" s="78"/>
    </row>
    <row r="37" spans="2:9">
      <c r="B37" s="78"/>
      <c r="D37" s="78"/>
      <c r="E37" s="78"/>
      <c r="F37" s="78"/>
      <c r="G37" s="78"/>
      <c r="H37" s="78"/>
    </row>
    <row r="38" spans="2:9">
      <c r="B38" s="78"/>
      <c r="D38" s="78"/>
      <c r="E38" s="78"/>
      <c r="F38" s="78"/>
      <c r="G38" s="78"/>
      <c r="H38" s="78"/>
    </row>
    <row r="39" spans="2:9">
      <c r="B39" s="77" t="s">
        <v>842</v>
      </c>
      <c r="D39" s="78"/>
      <c r="E39" s="78"/>
      <c r="F39" s="78"/>
      <c r="G39" s="78"/>
      <c r="H39" s="78"/>
    </row>
    <row r="40" spans="2:9">
      <c r="B40" s="78" t="s">
        <v>281</v>
      </c>
      <c r="D40" s="119">
        <v>17500</v>
      </c>
      <c r="E40" s="119">
        <v>17500</v>
      </c>
      <c r="F40" s="119">
        <v>17500</v>
      </c>
      <c r="G40" s="119">
        <v>17500</v>
      </c>
      <c r="H40" s="78"/>
    </row>
    <row r="41" spans="2:9">
      <c r="B41" s="78" t="s">
        <v>300</v>
      </c>
      <c r="D41" s="119">
        <v>7000</v>
      </c>
      <c r="E41" s="119">
        <v>7000</v>
      </c>
      <c r="F41" s="119">
        <v>7000</v>
      </c>
      <c r="G41" s="119">
        <v>7000</v>
      </c>
      <c r="H41" s="78"/>
    </row>
    <row r="42" spans="2:9">
      <c r="B42" s="78" t="s">
        <v>843</v>
      </c>
      <c r="D42" s="119">
        <v>7500</v>
      </c>
      <c r="E42" s="119">
        <v>7500</v>
      </c>
      <c r="F42" s="119">
        <v>7500</v>
      </c>
      <c r="G42" s="119">
        <v>7500</v>
      </c>
      <c r="H42" s="78"/>
    </row>
    <row r="43" spans="2:9">
      <c r="B43" s="76" t="s">
        <v>844</v>
      </c>
      <c r="D43" s="78">
        <v>600</v>
      </c>
      <c r="E43" s="78">
        <v>1500</v>
      </c>
      <c r="F43" s="78">
        <v>3200</v>
      </c>
      <c r="G43" s="78">
        <v>6500</v>
      </c>
      <c r="H43" s="78"/>
      <c r="I43" t="s">
        <v>845</v>
      </c>
    </row>
    <row r="44" spans="2:9">
      <c r="B44" s="78" t="s">
        <v>846</v>
      </c>
      <c r="D44" s="119">
        <v>7500</v>
      </c>
      <c r="E44" s="119">
        <v>10000</v>
      </c>
      <c r="F44" s="119">
        <v>12500</v>
      </c>
      <c r="G44" s="119">
        <v>15000</v>
      </c>
      <c r="H44" s="76" t="s">
        <v>847</v>
      </c>
      <c r="I44" s="155">
        <f>(E44-D44)/(E43-D43)*(1000-D43)+D44</f>
        <v>8611.1111111111113</v>
      </c>
    </row>
    <row r="45" spans="2:9">
      <c r="B45" s="76" t="s">
        <v>848</v>
      </c>
      <c r="D45" s="78">
        <v>20</v>
      </c>
      <c r="E45" s="78">
        <v>50</v>
      </c>
      <c r="F45" s="78">
        <v>100</v>
      </c>
      <c r="G45" s="78">
        <v>200</v>
      </c>
      <c r="H45" s="78"/>
    </row>
    <row r="46" spans="2:9">
      <c r="B46" s="78" t="s">
        <v>849</v>
      </c>
      <c r="D46" s="119">
        <v>1500</v>
      </c>
      <c r="E46" s="119">
        <v>3000</v>
      </c>
      <c r="F46" s="119">
        <v>5000</v>
      </c>
      <c r="G46" s="119">
        <v>8000</v>
      </c>
      <c r="H46" s="78"/>
    </row>
    <row r="47" spans="2:9">
      <c r="B47" s="78" t="s">
        <v>280</v>
      </c>
      <c r="D47" s="119">
        <v>5000</v>
      </c>
      <c r="E47" s="119">
        <v>7500</v>
      </c>
      <c r="F47" s="119">
        <v>10000</v>
      </c>
      <c r="G47" s="119">
        <v>12500</v>
      </c>
      <c r="H47" s="78"/>
    </row>
    <row r="48" spans="2:9">
      <c r="B48" s="78" t="s">
        <v>850</v>
      </c>
      <c r="D48" s="119">
        <v>15000</v>
      </c>
      <c r="E48" s="119">
        <v>29000</v>
      </c>
      <c r="F48" s="119">
        <v>43000</v>
      </c>
      <c r="G48" s="119">
        <v>58000</v>
      </c>
      <c r="H48" s="78"/>
    </row>
    <row r="49" spans="1:10">
      <c r="B49" s="78" t="s">
        <v>851</v>
      </c>
      <c r="D49" s="119">
        <v>15000</v>
      </c>
      <c r="E49" s="119">
        <v>17500</v>
      </c>
      <c r="F49" s="119">
        <v>20000</v>
      </c>
      <c r="G49" s="119">
        <v>22500</v>
      </c>
      <c r="H49" s="78"/>
    </row>
    <row r="50" spans="1:10">
      <c r="B50" s="77" t="s">
        <v>852</v>
      </c>
      <c r="C50" s="56"/>
      <c r="D50" s="152">
        <f>SUM(D46:D49,D44,D40:D42)</f>
        <v>76000</v>
      </c>
      <c r="E50" s="152">
        <f>SUM(E46:E49,E44,E40:E42)</f>
        <v>99000</v>
      </c>
      <c r="F50" s="152">
        <f>SUM(F46:F49,F44,F40:F42)</f>
        <v>122500</v>
      </c>
      <c r="G50" s="152">
        <f>SUM(G46:G49,G44,G40:G42)</f>
        <v>148000</v>
      </c>
      <c r="H50" s="78"/>
    </row>
    <row r="51" spans="1:10">
      <c r="B51" s="78"/>
      <c r="D51" s="154"/>
      <c r="E51" s="154"/>
      <c r="F51" s="154"/>
      <c r="G51" s="154"/>
      <c r="H51" s="78"/>
    </row>
    <row r="52" spans="1:10">
      <c r="B52" s="78" t="s">
        <v>853</v>
      </c>
      <c r="D52" s="119">
        <v>43000</v>
      </c>
      <c r="E52" s="119">
        <v>50000</v>
      </c>
      <c r="F52" s="119">
        <v>58000</v>
      </c>
      <c r="G52" s="119">
        <v>65000</v>
      </c>
      <c r="I52" s="78" t="s">
        <v>854</v>
      </c>
      <c r="J52" s="78"/>
    </row>
    <row r="53" spans="1:10">
      <c r="B53" s="78" t="s">
        <v>855</v>
      </c>
      <c r="D53" s="119">
        <v>36000</v>
      </c>
      <c r="E53" s="119">
        <v>40000</v>
      </c>
      <c r="F53" s="119">
        <v>43000</v>
      </c>
      <c r="G53" s="119">
        <v>46000</v>
      </c>
      <c r="I53" s="78" t="s">
        <v>856</v>
      </c>
    </row>
    <row r="54" spans="1:10">
      <c r="B54" s="78"/>
      <c r="D54" s="78"/>
      <c r="E54" s="78"/>
      <c r="F54" s="78"/>
      <c r="G54" s="78"/>
      <c r="H54" s="78"/>
    </row>
    <row r="55" spans="1:10">
      <c r="A55" s="78"/>
      <c r="B55" s="78"/>
      <c r="C55" s="78"/>
      <c r="D55" s="78"/>
      <c r="E55" s="78"/>
      <c r="F55" s="78"/>
      <c r="G55" s="78"/>
      <c r="H55" s="78"/>
    </row>
    <row r="56" spans="1:10">
      <c r="B56" s="77" t="s">
        <v>857</v>
      </c>
      <c r="C56" s="56"/>
      <c r="D56" s="153">
        <f>ROUNDUP(SUM(D50:D53),-3)</f>
        <v>155000</v>
      </c>
      <c r="E56" s="153">
        <f t="shared" ref="E56:G56" si="1">ROUNDUP(SUM(E50:E53),-3)</f>
        <v>189000</v>
      </c>
      <c r="F56" s="153">
        <f t="shared" si="1"/>
        <v>224000</v>
      </c>
      <c r="G56" s="153">
        <f t="shared" si="1"/>
        <v>259000</v>
      </c>
      <c r="H56" s="77"/>
    </row>
    <row r="57" spans="1:10">
      <c r="B57" s="78"/>
      <c r="C57" s="78"/>
      <c r="D57" s="78"/>
      <c r="E57" s="78"/>
      <c r="F57" s="78"/>
      <c r="G57" s="78"/>
    </row>
    <row r="58" spans="1:10">
      <c r="B58" s="77" t="s">
        <v>858</v>
      </c>
      <c r="C58" s="78"/>
      <c r="D58" s="78"/>
      <c r="E58" s="78"/>
      <c r="F58" s="78"/>
      <c r="G58" s="78"/>
    </row>
    <row r="59" spans="1:10">
      <c r="B59" s="76" t="s">
        <v>859</v>
      </c>
      <c r="C59" s="78"/>
      <c r="D59" s="78"/>
      <c r="E59" s="78"/>
      <c r="F59" s="78"/>
      <c r="G59" s="78"/>
    </row>
    <row r="60" spans="1:10">
      <c r="B60" s="76" t="s">
        <v>860</v>
      </c>
      <c r="C60" s="78"/>
      <c r="D60" s="78"/>
      <c r="E60" s="78"/>
      <c r="F60" s="78"/>
      <c r="G60" s="78"/>
    </row>
    <row r="61" spans="1:10">
      <c r="B61" s="76" t="s">
        <v>861</v>
      </c>
      <c r="C61" s="78"/>
      <c r="D61" s="78"/>
      <c r="E61" s="78"/>
      <c r="F61" s="78"/>
      <c r="G61" s="78"/>
    </row>
    <row r="62" spans="1:10">
      <c r="B62" s="76" t="s">
        <v>292</v>
      </c>
      <c r="C62" s="78"/>
      <c r="D62" s="78"/>
      <c r="E62" s="78"/>
      <c r="F62" s="78"/>
      <c r="G62" s="78"/>
    </row>
    <row r="63" spans="1:10">
      <c r="B63" s="76" t="s">
        <v>862</v>
      </c>
      <c r="C63" s="78"/>
      <c r="D63" s="78"/>
      <c r="E63" s="78"/>
      <c r="F63" s="78"/>
      <c r="G63" s="78"/>
    </row>
    <row r="64" spans="1:10">
      <c r="B64" s="76" t="s">
        <v>863</v>
      </c>
      <c r="C64" s="78"/>
      <c r="D64" s="78"/>
      <c r="E64" s="78"/>
      <c r="F64" s="78"/>
      <c r="G64" s="78"/>
    </row>
    <row r="65" spans="2:7">
      <c r="B65" s="76" t="s">
        <v>864</v>
      </c>
      <c r="C65" s="78"/>
      <c r="D65" s="78"/>
      <c r="E65" s="78"/>
      <c r="F65" s="78"/>
      <c r="G65" s="78"/>
    </row>
    <row r="66" spans="2:7">
      <c r="B66" s="76" t="s">
        <v>865</v>
      </c>
      <c r="C66" s="78"/>
      <c r="D66" s="78"/>
      <c r="E66" s="78"/>
      <c r="F66" s="78"/>
      <c r="G66" s="78"/>
    </row>
    <row r="67" spans="2:7">
      <c r="B67" s="76" t="s">
        <v>866</v>
      </c>
      <c r="C67" s="78"/>
      <c r="D67" s="78"/>
      <c r="E67" s="78"/>
      <c r="F67" s="78"/>
      <c r="G67" s="78"/>
    </row>
    <row r="68" spans="2:7">
      <c r="B68" s="76" t="s">
        <v>867</v>
      </c>
      <c r="C68" s="78"/>
      <c r="D68" s="78"/>
      <c r="E68" s="78"/>
      <c r="F68" s="78"/>
      <c r="G68" s="78"/>
    </row>
    <row r="69" spans="2:7">
      <c r="B69" s="76" t="s">
        <v>868</v>
      </c>
      <c r="C69" s="78"/>
      <c r="D69" s="78"/>
      <c r="E69" s="78"/>
      <c r="F69" s="78"/>
      <c r="G69" s="78"/>
    </row>
    <row r="70" spans="2:7">
      <c r="B70" s="76" t="s">
        <v>869</v>
      </c>
      <c r="C70" s="78"/>
      <c r="D70" s="78"/>
      <c r="E70" s="78"/>
      <c r="F70" s="78"/>
      <c r="G70" s="78"/>
    </row>
    <row r="71" spans="2:7">
      <c r="B71" s="76" t="s">
        <v>870</v>
      </c>
      <c r="C71" s="78"/>
      <c r="D71" s="78"/>
      <c r="E71" s="78"/>
      <c r="F71" s="78"/>
      <c r="G71" s="78"/>
    </row>
    <row r="72" spans="2:7">
      <c r="B72" s="76" t="s">
        <v>871</v>
      </c>
      <c r="C72" s="78"/>
      <c r="D72" s="78"/>
      <c r="E72" s="78"/>
      <c r="F72" s="78"/>
      <c r="G72" s="78"/>
    </row>
    <row r="73" spans="2:7">
      <c r="B73" s="76" t="s">
        <v>872</v>
      </c>
      <c r="C73" s="78"/>
      <c r="D73" s="78"/>
      <c r="E73" s="78"/>
      <c r="F73" s="78"/>
      <c r="G73" s="78"/>
    </row>
    <row r="74" spans="2:7">
      <c r="B74" s="76" t="s">
        <v>873</v>
      </c>
      <c r="C74" s="78"/>
      <c r="D74" s="78"/>
      <c r="E74" s="78"/>
      <c r="F74" s="78"/>
      <c r="G74" s="78"/>
    </row>
    <row r="75" spans="2:7">
      <c r="B75" s="76" t="s">
        <v>874</v>
      </c>
      <c r="C75" s="78"/>
      <c r="D75" s="78"/>
      <c r="E75" s="78"/>
      <c r="F75" s="78"/>
      <c r="G75" s="78"/>
    </row>
    <row r="76" spans="2:7">
      <c r="B76" s="76" t="s">
        <v>875</v>
      </c>
      <c r="C76" s="78"/>
      <c r="D76" s="78"/>
      <c r="E76" s="78"/>
      <c r="F76" s="78"/>
      <c r="G76" s="78"/>
    </row>
    <row r="78" spans="2:7">
      <c r="B78" s="469" t="s">
        <v>876</v>
      </c>
      <c r="C78" s="469"/>
      <c r="D78" s="469"/>
      <c r="E78" s="79"/>
    </row>
    <row r="79" spans="2:7">
      <c r="B79" s="56" t="s">
        <v>877</v>
      </c>
      <c r="E79" s="79"/>
    </row>
    <row r="80" spans="2:7">
      <c r="B80" s="108" t="s">
        <v>878</v>
      </c>
      <c r="C80" s="60">
        <v>1</v>
      </c>
      <c r="D80" s="111">
        <v>6866</v>
      </c>
      <c r="E80" s="467" t="s">
        <v>879</v>
      </c>
    </row>
    <row r="81" spans="2:5">
      <c r="B81" s="108" t="s">
        <v>880</v>
      </c>
      <c r="C81" s="60">
        <v>1</v>
      </c>
      <c r="D81" s="111">
        <v>2967</v>
      </c>
      <c r="E81" s="467"/>
    </row>
    <row r="82" spans="2:5">
      <c r="B82" s="108" t="s">
        <v>881</v>
      </c>
      <c r="C82" s="60">
        <v>1</v>
      </c>
      <c r="D82" s="111">
        <v>550</v>
      </c>
      <c r="E82" s="467"/>
    </row>
    <row r="83" spans="2:5">
      <c r="B83" s="108" t="s">
        <v>882</v>
      </c>
      <c r="C83" s="60">
        <v>1</v>
      </c>
      <c r="D83" s="111">
        <v>800</v>
      </c>
      <c r="E83" s="467"/>
    </row>
    <row r="84" spans="2:5">
      <c r="B84" s="60"/>
      <c r="C84" s="60"/>
      <c r="D84" s="112">
        <f>SUM(D80:D83)</f>
        <v>11183</v>
      </c>
      <c r="E84" s="467"/>
    </row>
    <row r="86" spans="2:5">
      <c r="B86" s="108" t="s">
        <v>883</v>
      </c>
      <c r="C86" s="60">
        <v>1</v>
      </c>
      <c r="D86" s="111">
        <v>11445</v>
      </c>
      <c r="E86" s="470" t="s">
        <v>884</v>
      </c>
    </row>
    <row r="87" spans="2:5">
      <c r="B87" s="108" t="s">
        <v>885</v>
      </c>
      <c r="C87" s="60">
        <v>1</v>
      </c>
      <c r="D87" s="111">
        <v>333</v>
      </c>
      <c r="E87" s="470"/>
    </row>
    <row r="88" spans="2:5">
      <c r="B88" s="108" t="s">
        <v>886</v>
      </c>
      <c r="C88" s="60">
        <v>1</v>
      </c>
      <c r="D88" s="111">
        <v>18</v>
      </c>
      <c r="E88" s="470"/>
    </row>
    <row r="89" spans="2:5">
      <c r="B89" s="108" t="s">
        <v>887</v>
      </c>
      <c r="C89" s="60">
        <v>1</v>
      </c>
      <c r="D89" s="111">
        <v>218</v>
      </c>
      <c r="E89" s="470"/>
    </row>
    <row r="90" spans="2:5">
      <c r="B90" s="108" t="s">
        <v>888</v>
      </c>
      <c r="C90" s="60">
        <v>1</v>
      </c>
      <c r="D90" s="111">
        <v>366</v>
      </c>
      <c r="E90" s="470"/>
    </row>
    <row r="91" spans="2:5">
      <c r="B91" s="108" t="s">
        <v>889</v>
      </c>
      <c r="C91" s="60">
        <v>1</v>
      </c>
      <c r="D91" s="111">
        <v>291</v>
      </c>
      <c r="E91" s="470"/>
    </row>
    <row r="92" spans="2:5">
      <c r="B92" s="60"/>
      <c r="C92" s="60"/>
      <c r="D92" s="112">
        <f>SUM(D86:D91)</f>
        <v>12671</v>
      </c>
      <c r="E92" s="470"/>
    </row>
    <row r="94" spans="2:5">
      <c r="B94" s="88" t="s">
        <v>890</v>
      </c>
      <c r="C94" s="88"/>
      <c r="D94" s="88"/>
    </row>
    <row r="95" spans="2:5">
      <c r="B95" s="60" t="s">
        <v>891</v>
      </c>
      <c r="C95" s="60" t="s">
        <v>892</v>
      </c>
      <c r="D95" s="113">
        <v>2.46</v>
      </c>
      <c r="E95" s="60" t="s">
        <v>893</v>
      </c>
    </row>
    <row r="100" spans="2:2">
      <c r="B100" s="76"/>
    </row>
    <row r="101" spans="2:2">
      <c r="B101" s="76"/>
    </row>
    <row r="102" spans="2:2">
      <c r="B102" s="76"/>
    </row>
    <row r="103" spans="2:2">
      <c r="B103" s="78"/>
    </row>
    <row r="104" spans="2:2">
      <c r="B104" s="78"/>
    </row>
  </sheetData>
  <mergeCells count="7">
    <mergeCell ref="E5:E28"/>
    <mergeCell ref="B1:D1"/>
    <mergeCell ref="B3:D3"/>
    <mergeCell ref="B78:D78"/>
    <mergeCell ref="E86:E92"/>
    <mergeCell ref="E80:E84"/>
    <mergeCell ref="B30:H3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68977-9C6B-4873-ADC6-63B4E8AEBCF5}">
  <dimension ref="A1:G8"/>
  <sheetViews>
    <sheetView workbookViewId="0">
      <selection activeCell="A4" sqref="A4"/>
    </sheetView>
  </sheetViews>
  <sheetFormatPr defaultRowHeight="15"/>
  <cols>
    <col min="1" max="1" width="16.5703125" bestFit="1" customWidth="1"/>
    <col min="2" max="2" width="26.42578125" bestFit="1" customWidth="1"/>
    <col min="3" max="3" width="38.85546875" bestFit="1" customWidth="1"/>
    <col min="4" max="4" width="22.85546875" bestFit="1" customWidth="1"/>
    <col min="5" max="5" width="31.140625" bestFit="1" customWidth="1"/>
    <col min="6" max="6" width="7" bestFit="1" customWidth="1"/>
    <col min="7" max="7" width="6.140625" bestFit="1" customWidth="1"/>
    <col min="8" max="8" width="37.42578125" bestFit="1" customWidth="1"/>
    <col min="9" max="9" width="32.85546875" bestFit="1" customWidth="1"/>
    <col min="10" max="10" width="37.42578125" bestFit="1" customWidth="1"/>
  </cols>
  <sheetData>
    <row r="1" spans="1:7">
      <c r="A1" s="51" t="s">
        <v>605</v>
      </c>
      <c r="B1" t="s">
        <v>634</v>
      </c>
    </row>
    <row r="3" spans="1:7">
      <c r="A3" s="51" t="s">
        <v>894</v>
      </c>
      <c r="B3" s="51" t="s">
        <v>895</v>
      </c>
    </row>
    <row r="4" spans="1:7" ht="45">
      <c r="A4" s="51" t="s">
        <v>896</v>
      </c>
      <c r="B4" s="53" t="s">
        <v>686</v>
      </c>
      <c r="C4" s="53" t="s">
        <v>647</v>
      </c>
      <c r="D4" s="53" t="s">
        <v>635</v>
      </c>
      <c r="E4" s="53" t="s">
        <v>663</v>
      </c>
      <c r="F4" s="53" t="s">
        <v>897</v>
      </c>
      <c r="G4" s="53" t="s">
        <v>898</v>
      </c>
    </row>
    <row r="5" spans="1:7">
      <c r="A5" s="52" t="s">
        <v>899</v>
      </c>
      <c r="B5">
        <v>2</v>
      </c>
      <c r="D5">
        <v>5</v>
      </c>
      <c r="E5">
        <v>3</v>
      </c>
      <c r="F5">
        <v>1</v>
      </c>
      <c r="G5">
        <v>11</v>
      </c>
    </row>
    <row r="6" spans="1:7">
      <c r="A6" s="52" t="s">
        <v>900</v>
      </c>
      <c r="B6">
        <v>4</v>
      </c>
      <c r="C6">
        <v>2</v>
      </c>
      <c r="D6">
        <v>6</v>
      </c>
      <c r="E6">
        <v>14</v>
      </c>
      <c r="G6">
        <v>26</v>
      </c>
    </row>
    <row r="7" spans="1:7">
      <c r="A7" s="52" t="s">
        <v>901</v>
      </c>
      <c r="D7">
        <v>2</v>
      </c>
      <c r="E7">
        <v>6</v>
      </c>
      <c r="G7">
        <v>8</v>
      </c>
    </row>
    <row r="8" spans="1:7">
      <c r="A8" s="52" t="s">
        <v>898</v>
      </c>
      <c r="B8">
        <v>6</v>
      </c>
      <c r="C8">
        <v>2</v>
      </c>
      <c r="D8">
        <v>13</v>
      </c>
      <c r="E8">
        <v>23</v>
      </c>
      <c r="F8">
        <v>1</v>
      </c>
      <c r="G8">
        <v>45</v>
      </c>
    </row>
  </sheetData>
  <sheetProtection algorithmName="SHA-512" hashValue="8jIzoVirDv5A8fxQZ7z6UZUUlp1IMrI+UfR/GmfPdB5m/3VZXhu+15+rz5gXOME87akJDlXKzCys1G9ai8E8Ug==" saltValue="3p8/OzGz2cH07xraUWoGo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G65"/>
  <sheetViews>
    <sheetView workbookViewId="0"/>
  </sheetViews>
  <sheetFormatPr defaultRowHeight="15" outlineLevelRow="1"/>
  <cols>
    <col min="1" max="1" width="3" bestFit="1" customWidth="1"/>
    <col min="2" max="2" width="17.42578125" customWidth="1"/>
    <col min="3" max="3" width="30.42578125" customWidth="1"/>
    <col min="5" max="5" width="15.5703125" bestFit="1" customWidth="1"/>
    <col min="6" max="6" width="5.5703125" style="16" customWidth="1"/>
    <col min="7" max="7" width="42.140625" style="14" bestFit="1" customWidth="1"/>
    <col min="8" max="8" width="6.5703125" bestFit="1" customWidth="1"/>
    <col min="9" max="9" width="6.5703125" customWidth="1"/>
    <col min="10" max="11" width="8.5703125" style="16"/>
    <col min="12" max="12" width="15.5703125" style="22" customWidth="1"/>
    <col min="13" max="14" width="8.5703125" style="16"/>
    <col min="15" max="15" width="9" style="16" bestFit="1" customWidth="1"/>
    <col min="16" max="16" width="28" style="43" customWidth="1"/>
    <col min="17" max="18" width="8.85546875" style="16"/>
    <col min="19" max="20" width="11.5703125" style="16" customWidth="1"/>
    <col min="21" max="21" width="11.42578125" style="16" customWidth="1"/>
    <col min="22" max="23" width="11.5703125" style="16" customWidth="1"/>
    <col min="24" max="24" width="12.5703125" style="16" customWidth="1"/>
    <col min="25" max="27" width="11.5703125" style="16" customWidth="1"/>
    <col min="28" max="28" width="20.85546875" style="16" customWidth="1"/>
    <col min="29" max="31" width="11.5703125" style="16" customWidth="1"/>
    <col min="32" max="32" width="44" style="52" customWidth="1"/>
    <col min="33" max="33" width="45.5703125" customWidth="1"/>
  </cols>
  <sheetData>
    <row r="1" spans="1:33" ht="30" customHeight="1">
      <c r="B1" s="39" t="s">
        <v>590</v>
      </c>
    </row>
    <row r="2" spans="1:33" s="53" customFormat="1" ht="120.75" outlineLevel="1">
      <c r="B2" s="90"/>
      <c r="C2" s="91" t="s">
        <v>591</v>
      </c>
      <c r="D2" s="91"/>
      <c r="E2" s="91"/>
      <c r="F2" s="92"/>
      <c r="G2" s="93"/>
      <c r="H2" s="91"/>
      <c r="I2" s="91"/>
      <c r="J2" s="92"/>
      <c r="K2" s="92"/>
      <c r="L2" s="89"/>
      <c r="M2" s="92"/>
      <c r="N2" s="92"/>
      <c r="O2" s="92"/>
      <c r="P2" s="89"/>
      <c r="Q2" s="92"/>
      <c r="R2" s="92"/>
      <c r="S2" s="92"/>
      <c r="T2" s="92" t="s">
        <v>592</v>
      </c>
      <c r="U2" s="92" t="s">
        <v>902</v>
      </c>
      <c r="V2" s="92" t="s">
        <v>595</v>
      </c>
      <c r="W2" s="92" t="s">
        <v>594</v>
      </c>
      <c r="X2" s="92" t="s">
        <v>903</v>
      </c>
      <c r="Y2" s="92" t="s">
        <v>598</v>
      </c>
      <c r="Z2" s="92"/>
      <c r="AA2" s="92"/>
      <c r="AB2" s="92" t="s">
        <v>599</v>
      </c>
      <c r="AC2" s="92"/>
      <c r="AD2" s="92"/>
      <c r="AE2" s="92"/>
      <c r="AF2" s="94"/>
      <c r="AG2" s="91"/>
    </row>
    <row r="3" spans="1:33" ht="76.5">
      <c r="A3" s="41" t="s">
        <v>600</v>
      </c>
      <c r="B3" s="41" t="s">
        <v>601</v>
      </c>
      <c r="C3" s="42" t="s">
        <v>602</v>
      </c>
      <c r="D3" s="41" t="s">
        <v>604</v>
      </c>
      <c r="E3" s="41" t="s">
        <v>605</v>
      </c>
      <c r="F3" s="41" t="s">
        <v>606</v>
      </c>
      <c r="G3" s="37" t="s">
        <v>607</v>
      </c>
      <c r="H3" s="66" t="s">
        <v>608</v>
      </c>
      <c r="I3" s="66" t="s">
        <v>609</v>
      </c>
      <c r="J3" s="38" t="s">
        <v>610</v>
      </c>
      <c r="K3" s="38" t="s">
        <v>611</v>
      </c>
      <c r="L3" s="41" t="s">
        <v>612</v>
      </c>
      <c r="M3" s="41" t="s">
        <v>613</v>
      </c>
      <c r="N3" s="41" t="s">
        <v>614</v>
      </c>
      <c r="O3" s="41" t="s">
        <v>615</v>
      </c>
      <c r="P3" s="36" t="s">
        <v>616</v>
      </c>
      <c r="Q3" s="41" t="s">
        <v>617</v>
      </c>
      <c r="R3" s="41" t="s">
        <v>618</v>
      </c>
      <c r="S3" s="41" t="s">
        <v>619</v>
      </c>
      <c r="T3" s="41" t="s">
        <v>620</v>
      </c>
      <c r="U3" s="98" t="s">
        <v>621</v>
      </c>
      <c r="V3" s="41" t="s">
        <v>904</v>
      </c>
      <c r="W3" s="41" t="s">
        <v>905</v>
      </c>
      <c r="X3" s="41" t="s">
        <v>624</v>
      </c>
      <c r="Y3" s="41" t="s">
        <v>626</v>
      </c>
      <c r="Z3" s="98" t="s">
        <v>627</v>
      </c>
      <c r="AA3" s="98" t="s">
        <v>628</v>
      </c>
      <c r="AB3" s="41" t="s">
        <v>629</v>
      </c>
      <c r="AC3" s="41" t="s">
        <v>630</v>
      </c>
      <c r="AD3" s="41" t="s">
        <v>906</v>
      </c>
      <c r="AE3" s="41" t="s">
        <v>907</v>
      </c>
      <c r="AF3" s="57" t="s">
        <v>631</v>
      </c>
      <c r="AG3" s="57" t="s">
        <v>908</v>
      </c>
    </row>
    <row r="4" spans="1:33" ht="51">
      <c r="A4" s="17">
        <f>1</f>
        <v>1</v>
      </c>
      <c r="B4" s="3" t="s">
        <v>632</v>
      </c>
      <c r="C4" s="2" t="s">
        <v>161</v>
      </c>
      <c r="D4" s="2" t="s">
        <v>633</v>
      </c>
      <c r="E4" s="2" t="s">
        <v>634</v>
      </c>
      <c r="F4" s="15">
        <v>1</v>
      </c>
      <c r="G4" s="12" t="s">
        <v>635</v>
      </c>
      <c r="H4" s="4" t="s">
        <v>636</v>
      </c>
      <c r="I4" s="4"/>
      <c r="J4" s="15">
        <v>2</v>
      </c>
      <c r="K4" s="15" t="s">
        <v>637</v>
      </c>
      <c r="L4" s="13"/>
      <c r="M4" s="15">
        <v>377</v>
      </c>
      <c r="N4" s="15">
        <v>350</v>
      </c>
      <c r="O4" s="15">
        <v>350</v>
      </c>
      <c r="P4" s="44"/>
      <c r="Q4" s="15">
        <f>N4*1000*24/1000000</f>
        <v>8.4</v>
      </c>
      <c r="R4" s="15">
        <f>O4*1000*24/1000000</f>
        <v>8.4</v>
      </c>
      <c r="S4" s="15"/>
      <c r="T4" s="84" t="s">
        <v>638</v>
      </c>
      <c r="U4" s="84" t="s">
        <v>639</v>
      </c>
      <c r="V4" s="84" t="s">
        <v>639</v>
      </c>
      <c r="W4" s="84" t="s">
        <v>641</v>
      </c>
      <c r="X4" s="84" t="s">
        <v>639</v>
      </c>
      <c r="Y4" s="84" t="s">
        <v>641</v>
      </c>
      <c r="Z4" s="84">
        <v>9</v>
      </c>
      <c r="AA4" s="84">
        <v>300</v>
      </c>
      <c r="AB4" s="84" t="s">
        <v>640</v>
      </c>
      <c r="AC4" s="84" t="s">
        <v>640</v>
      </c>
      <c r="AD4" s="84"/>
      <c r="AE4" s="84"/>
      <c r="AF4" s="117" t="s">
        <v>642</v>
      </c>
      <c r="AG4" s="85" t="s">
        <v>643</v>
      </c>
    </row>
    <row r="5" spans="1:33" ht="24.75">
      <c r="A5" s="17"/>
      <c r="B5" s="6" t="s">
        <v>632</v>
      </c>
      <c r="C5" s="2" t="s">
        <v>909</v>
      </c>
      <c r="D5" s="2" t="s">
        <v>910</v>
      </c>
      <c r="E5" s="2" t="s">
        <v>911</v>
      </c>
      <c r="F5" s="19">
        <v>2</v>
      </c>
      <c r="G5" s="26" t="s">
        <v>663</v>
      </c>
      <c r="H5" s="18" t="s">
        <v>640</v>
      </c>
      <c r="I5" s="18"/>
      <c r="J5" s="19">
        <v>1</v>
      </c>
      <c r="K5" s="19">
        <v>2</v>
      </c>
      <c r="L5" s="23" t="s">
        <v>912</v>
      </c>
      <c r="M5" s="19">
        <v>327</v>
      </c>
      <c r="N5" s="19">
        <v>275</v>
      </c>
      <c r="O5" s="19">
        <v>0</v>
      </c>
      <c r="P5" s="33" t="s">
        <v>913</v>
      </c>
      <c r="Q5" s="19">
        <f t="shared" ref="Q5:Q54" si="0">N5*1000*24/1000000</f>
        <v>6.6</v>
      </c>
      <c r="R5" s="15">
        <f t="shared" ref="R5:R36" si="1">O5*1000*24/1000000</f>
        <v>0</v>
      </c>
      <c r="S5" s="19"/>
      <c r="T5" s="19"/>
      <c r="U5" s="19"/>
      <c r="V5" s="19"/>
      <c r="W5" s="19"/>
      <c r="X5" s="19"/>
      <c r="Y5" s="19"/>
      <c r="Z5" s="19"/>
      <c r="AA5" s="19"/>
      <c r="AB5" s="19"/>
      <c r="AC5" s="19"/>
      <c r="AD5" s="19"/>
      <c r="AE5" s="19"/>
      <c r="AF5" s="58"/>
    </row>
    <row r="6" spans="1:33" ht="25.5">
      <c r="A6" s="17">
        <f>A4+1</f>
        <v>2</v>
      </c>
      <c r="B6" s="3" t="s">
        <v>632</v>
      </c>
      <c r="C6" s="2" t="s">
        <v>162</v>
      </c>
      <c r="D6" s="2" t="s">
        <v>644</v>
      </c>
      <c r="E6" s="2" t="s">
        <v>634</v>
      </c>
      <c r="F6" s="15">
        <v>1</v>
      </c>
      <c r="G6" s="12" t="s">
        <v>635</v>
      </c>
      <c r="H6" s="4" t="s">
        <v>636</v>
      </c>
      <c r="I6" s="4"/>
      <c r="J6" s="15">
        <v>2</v>
      </c>
      <c r="K6" s="15" t="s">
        <v>637</v>
      </c>
      <c r="L6" s="13"/>
      <c r="M6" s="15">
        <v>374</v>
      </c>
      <c r="N6" s="15">
        <v>374</v>
      </c>
      <c r="O6" s="15">
        <v>374</v>
      </c>
      <c r="P6" s="44"/>
      <c r="Q6" s="15">
        <f t="shared" si="0"/>
        <v>8.9760000000000009</v>
      </c>
      <c r="R6" s="15">
        <f t="shared" si="1"/>
        <v>8.9760000000000009</v>
      </c>
      <c r="S6" s="15"/>
      <c r="T6" s="84" t="s">
        <v>638</v>
      </c>
      <c r="U6" s="84" t="s">
        <v>639</v>
      </c>
      <c r="V6" s="84" t="s">
        <v>639</v>
      </c>
      <c r="W6" s="84" t="s">
        <v>641</v>
      </c>
      <c r="X6" s="84" t="s">
        <v>914</v>
      </c>
      <c r="Y6" s="84" t="s">
        <v>641</v>
      </c>
      <c r="Z6" s="84">
        <v>7.4</v>
      </c>
      <c r="AA6" s="84">
        <v>375</v>
      </c>
      <c r="AB6" s="84" t="s">
        <v>640</v>
      </c>
      <c r="AC6" s="84" t="s">
        <v>640</v>
      </c>
      <c r="AD6" s="84"/>
      <c r="AE6" s="84"/>
      <c r="AF6" s="85" t="s">
        <v>645</v>
      </c>
      <c r="AG6" s="85"/>
    </row>
    <row r="7" spans="1:33" ht="38.25">
      <c r="A7" s="17">
        <f>A6+1</f>
        <v>3</v>
      </c>
      <c r="B7" s="3" t="s">
        <v>632</v>
      </c>
      <c r="C7" s="2" t="s">
        <v>163</v>
      </c>
      <c r="D7" s="2" t="s">
        <v>646</v>
      </c>
      <c r="E7" s="2" t="s">
        <v>634</v>
      </c>
      <c r="F7" s="15">
        <v>3</v>
      </c>
      <c r="G7" s="12" t="s">
        <v>647</v>
      </c>
      <c r="H7" s="4" t="s">
        <v>636</v>
      </c>
      <c r="I7" s="4"/>
      <c r="J7" s="15">
        <v>2</v>
      </c>
      <c r="K7" s="15">
        <v>1</v>
      </c>
      <c r="L7" s="13">
        <v>200</v>
      </c>
      <c r="M7" s="15">
        <v>261</v>
      </c>
      <c r="N7" s="15">
        <v>380</v>
      </c>
      <c r="O7" s="15">
        <v>380</v>
      </c>
      <c r="P7" s="33" t="s">
        <v>648</v>
      </c>
      <c r="Q7" s="15">
        <f t="shared" si="0"/>
        <v>9.1199999999999992</v>
      </c>
      <c r="R7" s="15">
        <f t="shared" si="1"/>
        <v>9.1199999999999992</v>
      </c>
      <c r="S7" s="15"/>
      <c r="T7" s="84" t="s">
        <v>638</v>
      </c>
      <c r="U7" s="84" t="s">
        <v>649</v>
      </c>
      <c r="V7" s="84" t="s">
        <v>89</v>
      </c>
      <c r="W7" s="84" t="s">
        <v>640</v>
      </c>
      <c r="X7" s="84" t="s">
        <v>914</v>
      </c>
      <c r="Y7" s="84" t="s">
        <v>640</v>
      </c>
      <c r="Z7" s="84">
        <v>27</v>
      </c>
      <c r="AA7" s="84">
        <v>300</v>
      </c>
      <c r="AB7" s="84" t="s">
        <v>641</v>
      </c>
      <c r="AC7" s="84" t="s">
        <v>640</v>
      </c>
      <c r="AD7" s="84"/>
      <c r="AE7" s="84"/>
      <c r="AF7" s="85" t="s">
        <v>650</v>
      </c>
      <c r="AG7" s="85"/>
    </row>
    <row r="8" spans="1:33" ht="25.5">
      <c r="A8" s="17">
        <f>A7+1</f>
        <v>4</v>
      </c>
      <c r="B8" s="3" t="s">
        <v>632</v>
      </c>
      <c r="C8" s="2" t="s">
        <v>164</v>
      </c>
      <c r="D8" s="2" t="s">
        <v>651</v>
      </c>
      <c r="E8" s="2" t="s">
        <v>634</v>
      </c>
      <c r="F8" s="15">
        <v>1</v>
      </c>
      <c r="G8" s="12" t="s">
        <v>635</v>
      </c>
      <c r="H8" s="4" t="s">
        <v>636</v>
      </c>
      <c r="I8" s="4"/>
      <c r="J8" s="15">
        <v>6</v>
      </c>
      <c r="K8" s="15" t="s">
        <v>637</v>
      </c>
      <c r="L8" s="13"/>
      <c r="M8" s="15">
        <v>779</v>
      </c>
      <c r="N8" s="15">
        <v>845</v>
      </c>
      <c r="O8" s="15">
        <v>845</v>
      </c>
      <c r="P8" s="33"/>
      <c r="Q8" s="15">
        <f t="shared" si="0"/>
        <v>20.28</v>
      </c>
      <c r="R8" s="15">
        <f t="shared" si="1"/>
        <v>20.28</v>
      </c>
      <c r="S8" s="15"/>
      <c r="T8" s="96" t="s">
        <v>652</v>
      </c>
      <c r="U8" s="84" t="s">
        <v>639</v>
      </c>
      <c r="V8" s="84" t="s">
        <v>639</v>
      </c>
      <c r="W8" s="84" t="s">
        <v>641</v>
      </c>
      <c r="X8" s="84" t="s">
        <v>915</v>
      </c>
      <c r="Y8" s="84" t="s">
        <v>640</v>
      </c>
      <c r="Z8" s="115">
        <v>18</v>
      </c>
      <c r="AA8" s="84">
        <v>300</v>
      </c>
      <c r="AB8" s="84" t="s">
        <v>641</v>
      </c>
      <c r="AC8" s="84" t="s">
        <v>640</v>
      </c>
      <c r="AD8" s="84"/>
      <c r="AE8" s="84"/>
      <c r="AF8" s="85" t="s">
        <v>654</v>
      </c>
      <c r="AG8" s="85" t="s">
        <v>655</v>
      </c>
    </row>
    <row r="9" spans="1:33" ht="63.75">
      <c r="A9" s="17">
        <f>A8+1</f>
        <v>5</v>
      </c>
      <c r="B9" s="3" t="s">
        <v>632</v>
      </c>
      <c r="C9" s="2" t="s">
        <v>165</v>
      </c>
      <c r="D9" s="2" t="s">
        <v>656</v>
      </c>
      <c r="E9" s="2" t="s">
        <v>634</v>
      </c>
      <c r="F9" s="15">
        <v>1</v>
      </c>
      <c r="G9" s="12" t="s">
        <v>635</v>
      </c>
      <c r="H9" s="4" t="s">
        <v>636</v>
      </c>
      <c r="I9" s="4"/>
      <c r="J9" s="15">
        <v>3</v>
      </c>
      <c r="K9" s="15" t="s">
        <v>637</v>
      </c>
      <c r="L9" s="13"/>
      <c r="M9" s="15">
        <v>512</v>
      </c>
      <c r="N9" s="15">
        <v>512</v>
      </c>
      <c r="O9" s="15">
        <v>512</v>
      </c>
      <c r="P9" s="44"/>
      <c r="Q9" s="15">
        <f t="shared" si="0"/>
        <v>12.288</v>
      </c>
      <c r="R9" s="15">
        <f t="shared" si="1"/>
        <v>12.288</v>
      </c>
      <c r="S9" s="15"/>
      <c r="T9" s="84" t="s">
        <v>638</v>
      </c>
      <c r="U9" s="84" t="s">
        <v>649</v>
      </c>
      <c r="V9" s="84" t="s">
        <v>639</v>
      </c>
      <c r="W9" s="84" t="s">
        <v>640</v>
      </c>
      <c r="X9" s="84" t="s">
        <v>915</v>
      </c>
      <c r="Y9" s="84" t="s">
        <v>641</v>
      </c>
      <c r="Z9" s="115" t="s">
        <v>657</v>
      </c>
      <c r="AA9" s="84">
        <v>300</v>
      </c>
      <c r="AB9" s="84" t="s">
        <v>641</v>
      </c>
      <c r="AC9" s="84" t="s">
        <v>640</v>
      </c>
      <c r="AD9" s="84"/>
      <c r="AE9" s="84"/>
      <c r="AF9" s="85" t="s">
        <v>658</v>
      </c>
      <c r="AG9" s="85" t="s">
        <v>659</v>
      </c>
    </row>
    <row r="10" spans="1:33" ht="25.5">
      <c r="A10" s="17">
        <f t="shared" ref="A10:A21" si="2">A9+1</f>
        <v>6</v>
      </c>
      <c r="B10" s="3" t="s">
        <v>632</v>
      </c>
      <c r="C10" s="2" t="s">
        <v>166</v>
      </c>
      <c r="D10" s="2" t="s">
        <v>660</v>
      </c>
      <c r="E10" s="2" t="s">
        <v>634</v>
      </c>
      <c r="F10" s="15">
        <v>1</v>
      </c>
      <c r="G10" s="12" t="s">
        <v>635</v>
      </c>
      <c r="H10" s="4" t="s">
        <v>636</v>
      </c>
      <c r="I10" s="4"/>
      <c r="J10" s="15">
        <v>5</v>
      </c>
      <c r="K10" s="15" t="s">
        <v>637</v>
      </c>
      <c r="L10" s="13"/>
      <c r="M10" s="15">
        <v>918.55681666666692</v>
      </c>
      <c r="N10" s="15">
        <v>918.55681666666692</v>
      </c>
      <c r="O10" s="15">
        <v>918.55681666666692</v>
      </c>
      <c r="P10" s="44"/>
      <c r="Q10" s="15">
        <f t="shared" si="0"/>
        <v>22.045363600000005</v>
      </c>
      <c r="R10" s="15">
        <f t="shared" si="1"/>
        <v>22.045363600000005</v>
      </c>
      <c r="S10" s="15"/>
      <c r="T10" s="84" t="s">
        <v>638</v>
      </c>
      <c r="U10" s="84" t="s">
        <v>639</v>
      </c>
      <c r="V10" s="84" t="s">
        <v>639</v>
      </c>
      <c r="W10" s="84" t="s">
        <v>641</v>
      </c>
      <c r="X10" s="84" t="s">
        <v>916</v>
      </c>
      <c r="Y10" s="84" t="s">
        <v>640</v>
      </c>
      <c r="Z10" s="84">
        <v>7</v>
      </c>
      <c r="AA10" s="84">
        <v>300</v>
      </c>
      <c r="AB10" s="84" t="s">
        <v>640</v>
      </c>
      <c r="AC10" s="84" t="s">
        <v>640</v>
      </c>
      <c r="AD10" s="84"/>
      <c r="AE10" s="84"/>
      <c r="AF10" s="85" t="s">
        <v>661</v>
      </c>
      <c r="AG10" s="85"/>
    </row>
    <row r="11" spans="1:33" ht="38.25">
      <c r="A11" s="17">
        <f t="shared" si="2"/>
        <v>7</v>
      </c>
      <c r="B11" s="3" t="s">
        <v>632</v>
      </c>
      <c r="C11" s="2" t="s">
        <v>167</v>
      </c>
      <c r="D11" s="2" t="s">
        <v>662</v>
      </c>
      <c r="E11" s="2" t="s">
        <v>634</v>
      </c>
      <c r="F11" s="15">
        <v>2</v>
      </c>
      <c r="G11" s="12" t="s">
        <v>663</v>
      </c>
      <c r="H11" s="5" t="s">
        <v>640</v>
      </c>
      <c r="I11" s="5"/>
      <c r="J11" s="15">
        <v>3</v>
      </c>
      <c r="K11" s="15">
        <v>3</v>
      </c>
      <c r="L11" s="24" t="s">
        <v>664</v>
      </c>
      <c r="M11" s="15">
        <v>430</v>
      </c>
      <c r="N11" s="15">
        <v>430</v>
      </c>
      <c r="O11" s="15">
        <v>450</v>
      </c>
      <c r="P11" s="44"/>
      <c r="Q11" s="15">
        <f t="shared" si="0"/>
        <v>10.32</v>
      </c>
      <c r="R11" s="15">
        <f t="shared" si="1"/>
        <v>10.8</v>
      </c>
      <c r="S11" s="15" t="s">
        <v>640</v>
      </c>
      <c r="T11" s="84" t="s">
        <v>638</v>
      </c>
      <c r="U11" s="84" t="s">
        <v>639</v>
      </c>
      <c r="V11" s="84" t="s">
        <v>639</v>
      </c>
      <c r="W11" s="84" t="s">
        <v>640</v>
      </c>
      <c r="X11" s="84" t="s">
        <v>916</v>
      </c>
      <c r="Y11" s="84" t="s">
        <v>641</v>
      </c>
      <c r="Z11" s="84">
        <v>14</v>
      </c>
      <c r="AA11" s="86">
        <v>225</v>
      </c>
      <c r="AB11" s="84" t="s">
        <v>641</v>
      </c>
      <c r="AC11" s="84" t="s">
        <v>640</v>
      </c>
      <c r="AD11" s="84"/>
      <c r="AE11" s="84"/>
      <c r="AF11" s="85" t="s">
        <v>665</v>
      </c>
      <c r="AG11" s="85"/>
    </row>
    <row r="12" spans="1:33" s="1" customFormat="1" ht="25.5">
      <c r="A12" s="17">
        <f t="shared" si="2"/>
        <v>8</v>
      </c>
      <c r="B12" s="3" t="s">
        <v>632</v>
      </c>
      <c r="C12" s="2" t="s">
        <v>168</v>
      </c>
      <c r="D12" s="2" t="s">
        <v>666</v>
      </c>
      <c r="E12" s="2" t="s">
        <v>634</v>
      </c>
      <c r="F12" s="20">
        <v>2</v>
      </c>
      <c r="G12" s="27" t="s">
        <v>663</v>
      </c>
      <c r="H12" s="21" t="s">
        <v>640</v>
      </c>
      <c r="I12" s="21">
        <v>450</v>
      </c>
      <c r="J12" s="20">
        <v>4</v>
      </c>
      <c r="K12" s="20">
        <v>2</v>
      </c>
      <c r="L12" s="25" t="s">
        <v>667</v>
      </c>
      <c r="M12" s="20">
        <v>246</v>
      </c>
      <c r="N12" s="20">
        <v>246</v>
      </c>
      <c r="O12" s="20">
        <v>500</v>
      </c>
      <c r="P12" s="45" t="s">
        <v>668</v>
      </c>
      <c r="Q12" s="20">
        <f t="shared" si="0"/>
        <v>5.9039999999999999</v>
      </c>
      <c r="R12" s="15">
        <f t="shared" si="1"/>
        <v>12</v>
      </c>
      <c r="S12" s="20"/>
      <c r="T12" s="84" t="s">
        <v>638</v>
      </c>
      <c r="U12" s="84" t="s">
        <v>649</v>
      </c>
      <c r="V12" s="84" t="s">
        <v>639</v>
      </c>
      <c r="W12" s="84" t="s">
        <v>641</v>
      </c>
      <c r="X12" s="84" t="s">
        <v>917</v>
      </c>
      <c r="Y12" s="84" t="s">
        <v>641</v>
      </c>
      <c r="Z12" s="84">
        <v>15</v>
      </c>
      <c r="AA12" s="84">
        <v>300</v>
      </c>
      <c r="AB12" s="84" t="s">
        <v>669</v>
      </c>
      <c r="AC12" s="84" t="s">
        <v>640</v>
      </c>
      <c r="AD12" s="84"/>
      <c r="AE12" s="84"/>
      <c r="AF12" s="85" t="s">
        <v>670</v>
      </c>
      <c r="AG12" s="85"/>
    </row>
    <row r="13" spans="1:33" ht="38.25">
      <c r="A13" s="17">
        <f t="shared" si="2"/>
        <v>9</v>
      </c>
      <c r="B13" s="3" t="s">
        <v>632</v>
      </c>
      <c r="C13" s="2" t="s">
        <v>169</v>
      </c>
      <c r="D13" s="2" t="s">
        <v>671</v>
      </c>
      <c r="E13" s="2" t="s">
        <v>634</v>
      </c>
      <c r="F13" s="15">
        <v>1</v>
      </c>
      <c r="G13" s="12" t="s">
        <v>635</v>
      </c>
      <c r="H13" s="4" t="s">
        <v>636</v>
      </c>
      <c r="I13" s="4"/>
      <c r="J13" s="15">
        <v>2</v>
      </c>
      <c r="K13" s="15" t="s">
        <v>637</v>
      </c>
      <c r="L13" s="13"/>
      <c r="M13" s="15">
        <v>535</v>
      </c>
      <c r="N13" s="15">
        <v>0</v>
      </c>
      <c r="O13" s="15">
        <v>424.8</v>
      </c>
      <c r="P13" s="33" t="s">
        <v>672</v>
      </c>
      <c r="Q13" s="15">
        <f t="shared" si="0"/>
        <v>0</v>
      </c>
      <c r="R13" s="15">
        <f t="shared" si="1"/>
        <v>10.1952</v>
      </c>
      <c r="S13" s="15"/>
      <c r="T13" s="84" t="s">
        <v>638</v>
      </c>
      <c r="U13" s="84" t="s">
        <v>89</v>
      </c>
      <c r="V13" s="84" t="s">
        <v>89</v>
      </c>
      <c r="W13" s="84" t="s">
        <v>640</v>
      </c>
      <c r="X13" s="84" t="s">
        <v>916</v>
      </c>
      <c r="Y13" s="84" t="s">
        <v>640</v>
      </c>
      <c r="Z13" s="84">
        <v>8</v>
      </c>
      <c r="AA13" s="84">
        <v>200</v>
      </c>
      <c r="AB13" s="84" t="s">
        <v>641</v>
      </c>
      <c r="AC13" s="84" t="s">
        <v>640</v>
      </c>
      <c r="AD13" s="84"/>
      <c r="AE13" s="84"/>
      <c r="AF13" s="85" t="s">
        <v>673</v>
      </c>
      <c r="AG13" s="85" t="s">
        <v>643</v>
      </c>
    </row>
    <row r="14" spans="1:33">
      <c r="A14" s="17">
        <f t="shared" si="2"/>
        <v>10</v>
      </c>
      <c r="B14" s="3" t="s">
        <v>632</v>
      </c>
      <c r="C14" s="2" t="s">
        <v>170</v>
      </c>
      <c r="D14" s="2" t="s">
        <v>674</v>
      </c>
      <c r="E14" s="2" t="s">
        <v>634</v>
      </c>
      <c r="F14" s="15">
        <v>1</v>
      </c>
      <c r="G14" s="12" t="s">
        <v>635</v>
      </c>
      <c r="H14" s="4" t="s">
        <v>636</v>
      </c>
      <c r="I14" s="4"/>
      <c r="J14" s="15">
        <v>2</v>
      </c>
      <c r="K14" s="15" t="s">
        <v>637</v>
      </c>
      <c r="L14" s="13"/>
      <c r="M14" s="15">
        <v>381</v>
      </c>
      <c r="N14" s="15">
        <v>356</v>
      </c>
      <c r="O14" s="15">
        <v>356</v>
      </c>
      <c r="P14" s="44"/>
      <c r="Q14" s="15">
        <f t="shared" si="0"/>
        <v>8.5440000000000005</v>
      </c>
      <c r="R14" s="15">
        <f t="shared" si="1"/>
        <v>8.5440000000000005</v>
      </c>
      <c r="S14" s="15"/>
      <c r="T14" s="84" t="s">
        <v>675</v>
      </c>
      <c r="U14" s="84" t="s">
        <v>639</v>
      </c>
      <c r="V14" s="84" t="s">
        <v>639</v>
      </c>
      <c r="W14" s="84" t="s">
        <v>641</v>
      </c>
      <c r="X14" s="84" t="s">
        <v>916</v>
      </c>
      <c r="Y14" s="84" t="s">
        <v>640</v>
      </c>
      <c r="Z14" s="84">
        <v>8</v>
      </c>
      <c r="AA14" s="84">
        <v>250</v>
      </c>
      <c r="AB14" s="84" t="s">
        <v>640</v>
      </c>
      <c r="AC14" s="84" t="s">
        <v>640</v>
      </c>
      <c r="AD14" s="84"/>
      <c r="AE14" s="84"/>
      <c r="AF14" s="85" t="s">
        <v>676</v>
      </c>
      <c r="AG14" s="85" t="s">
        <v>677</v>
      </c>
    </row>
    <row r="15" spans="1:33" ht="25.5">
      <c r="A15" s="17">
        <f t="shared" si="2"/>
        <v>11</v>
      </c>
      <c r="B15" s="3" t="s">
        <v>632</v>
      </c>
      <c r="C15" s="2" t="s">
        <v>171</v>
      </c>
      <c r="D15" s="2" t="s">
        <v>678</v>
      </c>
      <c r="E15" s="2" t="s">
        <v>634</v>
      </c>
      <c r="F15" s="15">
        <v>2</v>
      </c>
      <c r="G15" s="12" t="s">
        <v>663</v>
      </c>
      <c r="H15" s="5" t="s">
        <v>640</v>
      </c>
      <c r="I15" s="5">
        <v>500</v>
      </c>
      <c r="J15" s="15">
        <v>2</v>
      </c>
      <c r="K15" s="15">
        <v>2</v>
      </c>
      <c r="L15" s="24" t="s">
        <v>679</v>
      </c>
      <c r="M15" s="15">
        <v>350</v>
      </c>
      <c r="N15" s="15">
        <v>350</v>
      </c>
      <c r="O15" s="15">
        <v>350</v>
      </c>
      <c r="P15" s="44"/>
      <c r="Q15" s="15">
        <f t="shared" si="0"/>
        <v>8.4</v>
      </c>
      <c r="R15" s="15">
        <f t="shared" si="1"/>
        <v>8.4</v>
      </c>
      <c r="S15" s="15"/>
      <c r="T15" s="84" t="s">
        <v>680</v>
      </c>
      <c r="U15" s="84" t="s">
        <v>639</v>
      </c>
      <c r="V15" s="84" t="s">
        <v>639</v>
      </c>
      <c r="W15" s="84" t="s">
        <v>641</v>
      </c>
      <c r="X15" s="84" t="s">
        <v>917</v>
      </c>
      <c r="Y15" s="84" t="s">
        <v>641</v>
      </c>
      <c r="Z15" s="84" t="s">
        <v>681</v>
      </c>
      <c r="AA15" s="86" t="s">
        <v>682</v>
      </c>
      <c r="AB15" s="84" t="s">
        <v>641</v>
      </c>
      <c r="AC15" s="84" t="s">
        <v>640</v>
      </c>
      <c r="AD15" s="84"/>
      <c r="AE15" s="84"/>
      <c r="AF15" s="85" t="s">
        <v>683</v>
      </c>
      <c r="AG15" s="85"/>
    </row>
    <row r="16" spans="1:33" ht="25.5">
      <c r="A16" s="17">
        <f t="shared" si="2"/>
        <v>12</v>
      </c>
      <c r="B16" s="3" t="s">
        <v>684</v>
      </c>
      <c r="C16" s="2" t="s">
        <v>172</v>
      </c>
      <c r="D16" s="2" t="s">
        <v>685</v>
      </c>
      <c r="E16" s="2" t="s">
        <v>634</v>
      </c>
      <c r="F16" s="15">
        <v>4</v>
      </c>
      <c r="G16" s="12" t="s">
        <v>686</v>
      </c>
      <c r="H16" s="4" t="s">
        <v>636</v>
      </c>
      <c r="I16" s="4"/>
      <c r="J16" s="15">
        <v>2</v>
      </c>
      <c r="K16" s="15">
        <v>2</v>
      </c>
      <c r="L16" s="24" t="s">
        <v>687</v>
      </c>
      <c r="M16" s="15">
        <v>285</v>
      </c>
      <c r="N16" s="15">
        <v>285</v>
      </c>
      <c r="O16" s="15">
        <v>285</v>
      </c>
      <c r="P16" s="44"/>
      <c r="Q16" s="15">
        <f t="shared" si="0"/>
        <v>6.84</v>
      </c>
      <c r="R16" s="15">
        <f t="shared" si="1"/>
        <v>6.84</v>
      </c>
      <c r="S16" s="15" t="s">
        <v>640</v>
      </c>
      <c r="T16" s="84" t="s">
        <v>638</v>
      </c>
      <c r="U16" s="84" t="s">
        <v>639</v>
      </c>
      <c r="V16" s="86" t="s">
        <v>639</v>
      </c>
      <c r="W16" s="86" t="s">
        <v>641</v>
      </c>
      <c r="X16" s="86" t="s">
        <v>918</v>
      </c>
      <c r="Y16" s="86" t="s">
        <v>641</v>
      </c>
      <c r="Z16" s="86">
        <v>6</v>
      </c>
      <c r="AA16" s="86" t="s">
        <v>689</v>
      </c>
      <c r="AB16" s="86" t="s">
        <v>640</v>
      </c>
      <c r="AC16" s="84" t="s">
        <v>640</v>
      </c>
      <c r="AD16" s="86"/>
      <c r="AE16" s="86"/>
      <c r="AF16" s="85" t="s">
        <v>690</v>
      </c>
      <c r="AG16" s="85"/>
    </row>
    <row r="17" spans="1:33" ht="25.5">
      <c r="A17" s="17">
        <f t="shared" si="2"/>
        <v>13</v>
      </c>
      <c r="B17" s="3" t="s">
        <v>684</v>
      </c>
      <c r="C17" s="2" t="s">
        <v>173</v>
      </c>
      <c r="D17" s="2" t="s">
        <v>691</v>
      </c>
      <c r="E17" s="2" t="s">
        <v>634</v>
      </c>
      <c r="F17" s="15">
        <v>4</v>
      </c>
      <c r="G17" s="12" t="s">
        <v>686</v>
      </c>
      <c r="H17" s="4" t="s">
        <v>636</v>
      </c>
      <c r="I17" s="4"/>
      <c r="J17" s="15">
        <v>3</v>
      </c>
      <c r="K17" s="15">
        <v>2</v>
      </c>
      <c r="L17" s="24" t="s">
        <v>692</v>
      </c>
      <c r="M17" s="15">
        <v>445</v>
      </c>
      <c r="N17" s="15">
        <v>321</v>
      </c>
      <c r="O17" s="15">
        <v>321</v>
      </c>
      <c r="P17" s="44"/>
      <c r="Q17" s="15">
        <f t="shared" si="0"/>
        <v>7.7039999999999997</v>
      </c>
      <c r="R17" s="15">
        <f t="shared" si="1"/>
        <v>7.7039999999999997</v>
      </c>
      <c r="S17" s="15"/>
      <c r="T17" s="84" t="s">
        <v>638</v>
      </c>
      <c r="U17" s="84" t="s">
        <v>649</v>
      </c>
      <c r="V17" s="84" t="s">
        <v>639</v>
      </c>
      <c r="W17" s="84" t="s">
        <v>641</v>
      </c>
      <c r="X17" s="84" t="s">
        <v>916</v>
      </c>
      <c r="Y17" s="84" t="s">
        <v>641</v>
      </c>
      <c r="Z17" s="84">
        <v>2</v>
      </c>
      <c r="AA17" s="84">
        <v>200</v>
      </c>
      <c r="AB17" s="84" t="s">
        <v>640</v>
      </c>
      <c r="AC17" s="84" t="s">
        <v>640</v>
      </c>
      <c r="AD17" s="84"/>
      <c r="AE17" s="84"/>
      <c r="AF17" s="85" t="s">
        <v>693</v>
      </c>
      <c r="AG17" s="85"/>
    </row>
    <row r="18" spans="1:33" ht="25.5">
      <c r="A18" s="17">
        <f t="shared" si="2"/>
        <v>14</v>
      </c>
      <c r="B18" s="3" t="s">
        <v>684</v>
      </c>
      <c r="C18" s="2" t="s">
        <v>174</v>
      </c>
      <c r="D18" s="2" t="s">
        <v>694</v>
      </c>
      <c r="E18" s="2" t="s">
        <v>634</v>
      </c>
      <c r="F18" s="15">
        <v>2</v>
      </c>
      <c r="G18" s="12" t="s">
        <v>663</v>
      </c>
      <c r="H18" s="5" t="s">
        <v>640</v>
      </c>
      <c r="I18" s="5"/>
      <c r="J18" s="15">
        <v>3</v>
      </c>
      <c r="K18" s="15">
        <v>3</v>
      </c>
      <c r="L18" s="24" t="s">
        <v>695</v>
      </c>
      <c r="M18" s="15">
        <v>593</v>
      </c>
      <c r="N18" s="15">
        <v>580</v>
      </c>
      <c r="O18" s="15">
        <v>580</v>
      </c>
      <c r="P18" s="44"/>
      <c r="Q18" s="15">
        <f t="shared" si="0"/>
        <v>13.92</v>
      </c>
      <c r="R18" s="15">
        <f t="shared" si="1"/>
        <v>13.92</v>
      </c>
      <c r="S18" s="15" t="s">
        <v>640</v>
      </c>
      <c r="T18" s="84" t="s">
        <v>638</v>
      </c>
      <c r="U18" s="84" t="s">
        <v>639</v>
      </c>
      <c r="V18" s="84" t="s">
        <v>639</v>
      </c>
      <c r="W18" s="84" t="s">
        <v>641</v>
      </c>
      <c r="X18" s="84" t="s">
        <v>916</v>
      </c>
      <c r="Y18" s="84" t="s">
        <v>641</v>
      </c>
      <c r="Z18" s="116" t="s">
        <v>696</v>
      </c>
      <c r="AA18" s="84">
        <v>300</v>
      </c>
      <c r="AB18" s="84" t="s">
        <v>641</v>
      </c>
      <c r="AC18" s="84" t="s">
        <v>640</v>
      </c>
      <c r="AD18" s="84"/>
      <c r="AE18" s="84"/>
      <c r="AF18" s="85" t="s">
        <v>697</v>
      </c>
      <c r="AG18" s="85" t="s">
        <v>698</v>
      </c>
    </row>
    <row r="19" spans="1:33" ht="38.25">
      <c r="A19" s="17">
        <f t="shared" si="2"/>
        <v>15</v>
      </c>
      <c r="B19" s="3" t="s">
        <v>684</v>
      </c>
      <c r="C19" s="2" t="s">
        <v>175</v>
      </c>
      <c r="D19" s="2" t="s">
        <v>699</v>
      </c>
      <c r="E19" s="2" t="s">
        <v>634</v>
      </c>
      <c r="F19" s="15">
        <v>2</v>
      </c>
      <c r="G19" s="12" t="s">
        <v>663</v>
      </c>
      <c r="H19" s="5" t="s">
        <v>640</v>
      </c>
      <c r="I19" s="5"/>
      <c r="J19" s="15">
        <v>3</v>
      </c>
      <c r="K19" s="15">
        <v>2</v>
      </c>
      <c r="L19" s="24" t="s">
        <v>700</v>
      </c>
      <c r="M19" s="15">
        <v>829</v>
      </c>
      <c r="N19" s="15">
        <v>485</v>
      </c>
      <c r="O19" s="15">
        <v>485</v>
      </c>
      <c r="P19" s="44"/>
      <c r="Q19" s="15">
        <f t="shared" si="0"/>
        <v>11.64</v>
      </c>
      <c r="R19" s="15">
        <f t="shared" si="1"/>
        <v>11.64</v>
      </c>
      <c r="S19" s="15"/>
      <c r="T19" s="84" t="s">
        <v>638</v>
      </c>
      <c r="U19" s="84" t="s">
        <v>639</v>
      </c>
      <c r="V19" s="84" t="s">
        <v>89</v>
      </c>
      <c r="W19" s="84" t="s">
        <v>640</v>
      </c>
      <c r="X19" s="84" t="s">
        <v>916</v>
      </c>
      <c r="Y19" s="84" t="s">
        <v>641</v>
      </c>
      <c r="Z19" s="84">
        <v>1</v>
      </c>
      <c r="AA19" s="84">
        <v>250</v>
      </c>
      <c r="AB19" s="84" t="s">
        <v>640</v>
      </c>
      <c r="AC19" s="84" t="s">
        <v>640</v>
      </c>
      <c r="AD19" s="84"/>
      <c r="AE19" s="84"/>
      <c r="AF19" s="85" t="s">
        <v>701</v>
      </c>
      <c r="AG19" s="85" t="s">
        <v>702</v>
      </c>
    </row>
    <row r="20" spans="1:33" ht="38.25">
      <c r="A20" s="17">
        <f t="shared" si="2"/>
        <v>16</v>
      </c>
      <c r="B20" s="3" t="s">
        <v>684</v>
      </c>
      <c r="C20" s="2" t="s">
        <v>176</v>
      </c>
      <c r="D20" s="2" t="s">
        <v>703</v>
      </c>
      <c r="E20" s="2" t="s">
        <v>634</v>
      </c>
      <c r="F20" s="15">
        <v>2</v>
      </c>
      <c r="G20" s="12" t="s">
        <v>663</v>
      </c>
      <c r="H20" s="5" t="s">
        <v>640</v>
      </c>
      <c r="I20" s="5"/>
      <c r="J20" s="15">
        <v>4</v>
      </c>
      <c r="K20" s="15">
        <v>2</v>
      </c>
      <c r="L20" s="24" t="s">
        <v>704</v>
      </c>
      <c r="M20" s="15">
        <v>580</v>
      </c>
      <c r="N20" s="15">
        <v>551</v>
      </c>
      <c r="O20" s="15">
        <v>551</v>
      </c>
      <c r="P20" s="44"/>
      <c r="Q20" s="15">
        <f t="shared" si="0"/>
        <v>13.224</v>
      </c>
      <c r="R20" s="15">
        <f t="shared" si="1"/>
        <v>13.224</v>
      </c>
      <c r="S20" s="15" t="s">
        <v>640</v>
      </c>
      <c r="T20" s="84" t="s">
        <v>638</v>
      </c>
      <c r="U20" s="84" t="s">
        <v>89</v>
      </c>
      <c r="V20" s="84" t="s">
        <v>705</v>
      </c>
      <c r="W20" s="84" t="s">
        <v>311</v>
      </c>
      <c r="X20" s="84" t="s">
        <v>916</v>
      </c>
      <c r="Y20" s="84" t="s">
        <v>640</v>
      </c>
      <c r="Z20" s="84">
        <v>5.5</v>
      </c>
      <c r="AA20" s="84">
        <v>250</v>
      </c>
      <c r="AB20" s="100" t="s">
        <v>640</v>
      </c>
      <c r="AC20" s="84" t="s">
        <v>640</v>
      </c>
      <c r="AD20" s="84"/>
      <c r="AE20" s="84"/>
      <c r="AF20" s="85" t="s">
        <v>706</v>
      </c>
      <c r="AG20" s="85"/>
    </row>
    <row r="21" spans="1:33" ht="38.25">
      <c r="A21" s="17">
        <f t="shared" si="2"/>
        <v>17</v>
      </c>
      <c r="B21" s="3" t="s">
        <v>684</v>
      </c>
      <c r="C21" s="2" t="s">
        <v>177</v>
      </c>
      <c r="D21" s="2" t="s">
        <v>707</v>
      </c>
      <c r="E21" s="2" t="s">
        <v>634</v>
      </c>
      <c r="F21" s="15">
        <v>2</v>
      </c>
      <c r="G21" s="12" t="s">
        <v>663</v>
      </c>
      <c r="H21" s="5" t="s">
        <v>640</v>
      </c>
      <c r="I21" s="5"/>
      <c r="J21" s="15">
        <v>1</v>
      </c>
      <c r="K21" s="15">
        <v>2</v>
      </c>
      <c r="L21" s="24" t="s">
        <v>708</v>
      </c>
      <c r="M21" s="15">
        <v>319</v>
      </c>
      <c r="N21" s="15">
        <v>277</v>
      </c>
      <c r="O21" s="15">
        <v>277</v>
      </c>
      <c r="P21" s="44"/>
      <c r="Q21" s="15">
        <f t="shared" si="0"/>
        <v>6.6479999999999997</v>
      </c>
      <c r="R21" s="15">
        <f t="shared" si="1"/>
        <v>6.6479999999999997</v>
      </c>
      <c r="S21" s="15"/>
      <c r="T21" s="84" t="s">
        <v>638</v>
      </c>
      <c r="U21" s="84" t="s">
        <v>89</v>
      </c>
      <c r="V21" s="84" t="s">
        <v>705</v>
      </c>
      <c r="W21" s="84" t="s">
        <v>311</v>
      </c>
      <c r="X21" s="84" t="s">
        <v>916</v>
      </c>
      <c r="Y21" s="84" t="s">
        <v>641</v>
      </c>
      <c r="Z21" s="84">
        <v>15</v>
      </c>
      <c r="AA21" s="84">
        <v>200</v>
      </c>
      <c r="AB21" s="84" t="s">
        <v>641</v>
      </c>
      <c r="AC21" s="84" t="s">
        <v>640</v>
      </c>
      <c r="AD21" s="84"/>
      <c r="AE21" s="84"/>
      <c r="AF21" s="85" t="s">
        <v>706</v>
      </c>
      <c r="AG21" s="85"/>
    </row>
    <row r="22" spans="1:33" s="31" customFormat="1">
      <c r="A22" s="40"/>
      <c r="B22" s="6" t="s">
        <v>684</v>
      </c>
      <c r="C22" s="2" t="s">
        <v>919</v>
      </c>
      <c r="D22" s="2" t="s">
        <v>920</v>
      </c>
      <c r="E22" s="2" t="s">
        <v>921</v>
      </c>
      <c r="F22" s="28">
        <v>2</v>
      </c>
      <c r="G22" s="29" t="s">
        <v>663</v>
      </c>
      <c r="H22" s="30" t="s">
        <v>640</v>
      </c>
      <c r="I22" s="30">
        <v>500</v>
      </c>
      <c r="J22" s="28">
        <v>2</v>
      </c>
      <c r="K22" s="28">
        <v>2</v>
      </c>
      <c r="L22" s="32" t="s">
        <v>692</v>
      </c>
      <c r="M22" s="28" t="s">
        <v>637</v>
      </c>
      <c r="N22" s="28">
        <v>0</v>
      </c>
      <c r="O22" s="28">
        <v>504</v>
      </c>
      <c r="P22" s="45" t="s">
        <v>922</v>
      </c>
      <c r="Q22" s="28">
        <f t="shared" si="0"/>
        <v>0</v>
      </c>
      <c r="R22" s="15">
        <f t="shared" si="1"/>
        <v>12.096</v>
      </c>
      <c r="S22" s="28"/>
      <c r="T22" s="28"/>
      <c r="U22" s="28"/>
      <c r="V22" s="28"/>
      <c r="W22" s="28"/>
      <c r="X22" s="28"/>
      <c r="Y22" s="28"/>
      <c r="Z22" s="28"/>
      <c r="AA22" s="28"/>
      <c r="AB22" s="28"/>
      <c r="AC22" s="28"/>
      <c r="AD22" s="28"/>
      <c r="AE22" s="28"/>
      <c r="AF22" s="59"/>
    </row>
    <row r="23" spans="1:33" ht="38.25">
      <c r="A23" s="17">
        <f>A21+1</f>
        <v>18</v>
      </c>
      <c r="B23" s="3" t="s">
        <v>709</v>
      </c>
      <c r="C23" s="2" t="s">
        <v>178</v>
      </c>
      <c r="D23" s="2" t="s">
        <v>710</v>
      </c>
      <c r="E23" s="2" t="s">
        <v>634</v>
      </c>
      <c r="F23" s="15">
        <v>2</v>
      </c>
      <c r="G23" s="12" t="s">
        <v>663</v>
      </c>
      <c r="H23" s="5" t="s">
        <v>640</v>
      </c>
      <c r="I23" s="5">
        <v>4500</v>
      </c>
      <c r="J23" s="15">
        <v>6</v>
      </c>
      <c r="K23" s="15">
        <v>2</v>
      </c>
      <c r="L23" s="34" t="s">
        <v>711</v>
      </c>
      <c r="M23" s="15">
        <v>1312</v>
      </c>
      <c r="N23" s="15">
        <v>1320</v>
      </c>
      <c r="O23" s="15">
        <v>1320</v>
      </c>
      <c r="P23" s="33" t="s">
        <v>712</v>
      </c>
      <c r="Q23" s="15">
        <f t="shared" si="0"/>
        <v>31.68</v>
      </c>
      <c r="R23" s="15">
        <f t="shared" si="1"/>
        <v>31.68</v>
      </c>
      <c r="S23" s="15"/>
      <c r="T23" s="84" t="s">
        <v>675</v>
      </c>
      <c r="U23" s="84" t="s">
        <v>639</v>
      </c>
      <c r="V23" s="84" t="s">
        <v>639</v>
      </c>
      <c r="W23" s="84" t="s">
        <v>641</v>
      </c>
      <c r="X23" s="84" t="s">
        <v>917</v>
      </c>
      <c r="Y23" s="84" t="s">
        <v>641</v>
      </c>
      <c r="Z23" s="20">
        <v>12</v>
      </c>
      <c r="AA23" s="84">
        <v>450</v>
      </c>
      <c r="AB23" s="84" t="s">
        <v>640</v>
      </c>
      <c r="AC23" s="84" t="s">
        <v>640</v>
      </c>
      <c r="AD23" s="84"/>
      <c r="AE23" s="84"/>
      <c r="AF23" s="85" t="s">
        <v>713</v>
      </c>
      <c r="AG23" s="85" t="s">
        <v>714</v>
      </c>
    </row>
    <row r="24" spans="1:33" ht="38.25">
      <c r="A24" s="17">
        <f>A23+1</f>
        <v>19</v>
      </c>
      <c r="B24" s="3" t="s">
        <v>709</v>
      </c>
      <c r="C24" s="2" t="s">
        <v>179</v>
      </c>
      <c r="D24" s="2" t="s">
        <v>715</v>
      </c>
      <c r="E24" s="2" t="s">
        <v>634</v>
      </c>
      <c r="F24" s="15">
        <v>2</v>
      </c>
      <c r="G24" s="12" t="s">
        <v>663</v>
      </c>
      <c r="H24" s="5" t="s">
        <v>640</v>
      </c>
      <c r="I24" s="5">
        <v>3500</v>
      </c>
      <c r="J24" s="15">
        <v>5</v>
      </c>
      <c r="K24" s="15">
        <v>2</v>
      </c>
      <c r="L24" s="34" t="s">
        <v>716</v>
      </c>
      <c r="M24" s="15">
        <v>1099</v>
      </c>
      <c r="N24" s="15">
        <v>1100</v>
      </c>
      <c r="O24" s="15">
        <v>1100</v>
      </c>
      <c r="P24" s="33" t="s">
        <v>712</v>
      </c>
      <c r="Q24" s="15">
        <f t="shared" si="0"/>
        <v>26.4</v>
      </c>
      <c r="R24" s="15">
        <f t="shared" si="1"/>
        <v>26.4</v>
      </c>
      <c r="S24" s="15"/>
      <c r="T24" s="84" t="s">
        <v>717</v>
      </c>
      <c r="U24" s="84" t="s">
        <v>649</v>
      </c>
      <c r="V24" s="84" t="s">
        <v>718</v>
      </c>
      <c r="W24" s="84" t="s">
        <v>641</v>
      </c>
      <c r="X24" s="84" t="s">
        <v>917</v>
      </c>
      <c r="Y24" s="84" t="s">
        <v>641</v>
      </c>
      <c r="Z24" s="116" t="s">
        <v>696</v>
      </c>
      <c r="AA24" s="84">
        <v>375</v>
      </c>
      <c r="AB24" s="84" t="s">
        <v>641</v>
      </c>
      <c r="AC24" s="84" t="s">
        <v>640</v>
      </c>
      <c r="AD24" s="84"/>
      <c r="AE24" s="84"/>
      <c r="AF24" s="85" t="s">
        <v>719</v>
      </c>
      <c r="AG24" s="85" t="s">
        <v>698</v>
      </c>
    </row>
    <row r="25" spans="1:33" ht="45">
      <c r="A25" s="17">
        <f t="shared" ref="A25:A29" si="3">A24+1</f>
        <v>20</v>
      </c>
      <c r="B25" s="3" t="s">
        <v>709</v>
      </c>
      <c r="C25" s="2" t="s">
        <v>180</v>
      </c>
      <c r="D25" s="2" t="s">
        <v>720</v>
      </c>
      <c r="E25" s="2" t="s">
        <v>634</v>
      </c>
      <c r="F25" s="15">
        <v>2</v>
      </c>
      <c r="G25" s="12" t="s">
        <v>663</v>
      </c>
      <c r="H25" s="5" t="s">
        <v>640</v>
      </c>
      <c r="I25" s="5">
        <v>3500</v>
      </c>
      <c r="J25" s="15">
        <v>2</v>
      </c>
      <c r="K25" s="15">
        <v>3</v>
      </c>
      <c r="L25" s="34" t="s">
        <v>721</v>
      </c>
      <c r="M25" s="15">
        <v>1254</v>
      </c>
      <c r="N25" s="15">
        <v>470</v>
      </c>
      <c r="O25" s="15">
        <v>470</v>
      </c>
      <c r="P25" s="33" t="s">
        <v>722</v>
      </c>
      <c r="Q25" s="15">
        <f t="shared" si="0"/>
        <v>11.28</v>
      </c>
      <c r="R25" s="15">
        <f t="shared" si="1"/>
        <v>11.28</v>
      </c>
      <c r="S25" s="15"/>
      <c r="T25" s="20" t="s">
        <v>638</v>
      </c>
      <c r="U25" s="20" t="s">
        <v>639</v>
      </c>
      <c r="V25" s="20" t="s">
        <v>649</v>
      </c>
      <c r="W25" s="20" t="s">
        <v>640</v>
      </c>
      <c r="X25" s="20" t="s">
        <v>639</v>
      </c>
      <c r="Y25" s="20" t="s">
        <v>640</v>
      </c>
      <c r="Z25" s="116" t="s">
        <v>696</v>
      </c>
      <c r="AA25" s="20">
        <v>500</v>
      </c>
      <c r="AB25" s="20" t="s">
        <v>923</v>
      </c>
      <c r="AC25" s="84" t="s">
        <v>640</v>
      </c>
      <c r="AD25" s="20"/>
      <c r="AE25" s="20"/>
      <c r="AF25" s="83" t="s">
        <v>723</v>
      </c>
      <c r="AG25" s="83" t="s">
        <v>724</v>
      </c>
    </row>
    <row r="26" spans="1:33" ht="30">
      <c r="A26" s="17">
        <f t="shared" si="3"/>
        <v>21</v>
      </c>
      <c r="B26" s="3" t="s">
        <v>709</v>
      </c>
      <c r="C26" s="2" t="s">
        <v>181</v>
      </c>
      <c r="D26" s="2" t="s">
        <v>725</v>
      </c>
      <c r="E26" s="2" t="s">
        <v>634</v>
      </c>
      <c r="F26" s="15">
        <v>2</v>
      </c>
      <c r="G26" s="12" t="s">
        <v>663</v>
      </c>
      <c r="H26" s="5" t="s">
        <v>640</v>
      </c>
      <c r="I26" s="5">
        <v>3500</v>
      </c>
      <c r="J26" s="15">
        <v>4</v>
      </c>
      <c r="K26" s="15">
        <v>2</v>
      </c>
      <c r="L26" s="34" t="s">
        <v>716</v>
      </c>
      <c r="M26" s="15">
        <v>1433</v>
      </c>
      <c r="N26" s="15">
        <v>1149.9839999999999</v>
      </c>
      <c r="O26" s="15">
        <v>1149.9839999999999</v>
      </c>
      <c r="P26" s="33" t="s">
        <v>712</v>
      </c>
      <c r="Q26" s="15">
        <f t="shared" si="0"/>
        <v>27.599616000000001</v>
      </c>
      <c r="R26" s="15">
        <f t="shared" si="1"/>
        <v>27.599616000000001</v>
      </c>
      <c r="S26" s="15"/>
      <c r="T26" s="20" t="s">
        <v>638</v>
      </c>
      <c r="U26" s="20" t="s">
        <v>649</v>
      </c>
      <c r="V26" s="20" t="s">
        <v>639</v>
      </c>
      <c r="W26" s="20" t="s">
        <v>641</v>
      </c>
      <c r="X26" s="20" t="s">
        <v>916</v>
      </c>
      <c r="Y26" s="20" t="s">
        <v>641</v>
      </c>
      <c r="Z26" s="20">
        <v>18</v>
      </c>
      <c r="AA26" s="20">
        <v>450</v>
      </c>
      <c r="AB26" s="20" t="s">
        <v>641</v>
      </c>
      <c r="AC26" s="84" t="s">
        <v>640</v>
      </c>
      <c r="AD26" s="20"/>
      <c r="AE26" s="20"/>
      <c r="AF26" s="83" t="s">
        <v>726</v>
      </c>
      <c r="AG26" s="83"/>
    </row>
    <row r="27" spans="1:33" ht="25.5">
      <c r="A27" s="17">
        <f t="shared" si="3"/>
        <v>22</v>
      </c>
      <c r="B27" s="3" t="s">
        <v>727</v>
      </c>
      <c r="C27" s="2" t="s">
        <v>182</v>
      </c>
      <c r="D27" s="2" t="s">
        <v>728</v>
      </c>
      <c r="E27" s="2" t="s">
        <v>634</v>
      </c>
      <c r="F27" s="15">
        <v>2</v>
      </c>
      <c r="G27" s="12" t="s">
        <v>663</v>
      </c>
      <c r="H27" s="5" t="s">
        <v>640</v>
      </c>
      <c r="I27" s="5">
        <v>1085</v>
      </c>
      <c r="J27" s="15">
        <v>6</v>
      </c>
      <c r="K27" s="15">
        <v>3</v>
      </c>
      <c r="L27" s="34" t="s">
        <v>729</v>
      </c>
      <c r="M27" s="15">
        <v>1138</v>
      </c>
      <c r="N27" s="15">
        <v>1000</v>
      </c>
      <c r="O27" s="15">
        <v>1000</v>
      </c>
      <c r="P27" s="44"/>
      <c r="Q27" s="15">
        <f t="shared" si="0"/>
        <v>24</v>
      </c>
      <c r="R27" s="15">
        <f t="shared" si="1"/>
        <v>24</v>
      </c>
      <c r="S27" s="15"/>
      <c r="T27" s="97" t="s">
        <v>924</v>
      </c>
      <c r="U27" s="20"/>
      <c r="V27" s="20" t="s">
        <v>641</v>
      </c>
      <c r="W27" s="20" t="s">
        <v>641</v>
      </c>
      <c r="X27" s="20" t="s">
        <v>916</v>
      </c>
      <c r="Y27" s="20" t="s">
        <v>641</v>
      </c>
      <c r="Z27" s="116" t="s">
        <v>696</v>
      </c>
      <c r="AA27" s="20">
        <v>300</v>
      </c>
      <c r="AB27" s="20" t="s">
        <v>641</v>
      </c>
      <c r="AC27" s="84" t="s">
        <v>640</v>
      </c>
      <c r="AD27" s="20"/>
      <c r="AE27" s="20"/>
      <c r="AF27" s="99" t="s">
        <v>730</v>
      </c>
      <c r="AG27" s="85" t="s">
        <v>731</v>
      </c>
    </row>
    <row r="28" spans="1:33" ht="60">
      <c r="A28" s="17">
        <f t="shared" si="3"/>
        <v>23</v>
      </c>
      <c r="B28" s="3" t="s">
        <v>727</v>
      </c>
      <c r="C28" s="2" t="s">
        <v>183</v>
      </c>
      <c r="D28" s="2" t="s">
        <v>732</v>
      </c>
      <c r="E28" s="2" t="s">
        <v>634</v>
      </c>
      <c r="F28" s="15">
        <v>1</v>
      </c>
      <c r="G28" s="12" t="s">
        <v>635</v>
      </c>
      <c r="H28" s="4" t="s">
        <v>636</v>
      </c>
      <c r="I28" s="4"/>
      <c r="J28" s="15">
        <v>2</v>
      </c>
      <c r="K28" s="15" t="s">
        <v>637</v>
      </c>
      <c r="L28" s="13" t="s">
        <v>637</v>
      </c>
      <c r="M28" s="15">
        <v>260</v>
      </c>
      <c r="N28" s="15">
        <v>252</v>
      </c>
      <c r="O28" s="15">
        <v>252</v>
      </c>
      <c r="P28" s="44"/>
      <c r="Q28" s="15">
        <f t="shared" si="0"/>
        <v>6.048</v>
      </c>
      <c r="R28" s="15">
        <f t="shared" si="1"/>
        <v>6.048</v>
      </c>
      <c r="S28" s="15"/>
      <c r="T28" s="20" t="s">
        <v>638</v>
      </c>
      <c r="U28" s="20" t="s">
        <v>649</v>
      </c>
      <c r="V28" s="20" t="s">
        <v>89</v>
      </c>
      <c r="W28" s="20" t="s">
        <v>641</v>
      </c>
      <c r="X28" s="20" t="s">
        <v>916</v>
      </c>
      <c r="Y28" s="20" t="s">
        <v>640</v>
      </c>
      <c r="Z28" s="20">
        <v>5</v>
      </c>
      <c r="AA28" s="20">
        <v>300</v>
      </c>
      <c r="AB28" s="20" t="s">
        <v>640</v>
      </c>
      <c r="AC28" s="84" t="s">
        <v>640</v>
      </c>
      <c r="AD28" s="20"/>
      <c r="AE28" s="20"/>
      <c r="AF28" s="83" t="s">
        <v>733</v>
      </c>
      <c r="AG28" s="83"/>
    </row>
    <row r="29" spans="1:33" ht="30">
      <c r="A29" s="17">
        <f t="shared" si="3"/>
        <v>24</v>
      </c>
      <c r="B29" s="3" t="s">
        <v>727</v>
      </c>
      <c r="C29" s="2" t="s">
        <v>184</v>
      </c>
      <c r="D29" s="2" t="s">
        <v>734</v>
      </c>
      <c r="E29" s="2" t="s">
        <v>634</v>
      </c>
      <c r="F29" s="15">
        <v>4</v>
      </c>
      <c r="G29" s="12" t="s">
        <v>686</v>
      </c>
      <c r="H29" s="4" t="s">
        <v>636</v>
      </c>
      <c r="I29" s="4"/>
      <c r="J29" s="15">
        <v>2</v>
      </c>
      <c r="K29" s="15">
        <v>2</v>
      </c>
      <c r="L29" s="34" t="s">
        <v>735</v>
      </c>
      <c r="M29" s="15">
        <v>287</v>
      </c>
      <c r="N29" s="15">
        <v>280</v>
      </c>
      <c r="O29" s="15">
        <v>280</v>
      </c>
      <c r="P29" s="33" t="s">
        <v>736</v>
      </c>
      <c r="Q29" s="15">
        <f t="shared" si="0"/>
        <v>6.72</v>
      </c>
      <c r="R29" s="15">
        <f t="shared" si="1"/>
        <v>6.72</v>
      </c>
      <c r="S29" s="15" t="s">
        <v>640</v>
      </c>
      <c r="T29" s="20" t="s">
        <v>638</v>
      </c>
      <c r="U29" s="20" t="s">
        <v>639</v>
      </c>
      <c r="V29" s="20" t="s">
        <v>639</v>
      </c>
      <c r="W29" s="20" t="s">
        <v>641</v>
      </c>
      <c r="X29" s="20" t="s">
        <v>916</v>
      </c>
      <c r="Y29" s="20" t="s">
        <v>641</v>
      </c>
      <c r="Z29" s="114">
        <v>7.7</v>
      </c>
      <c r="AA29" s="20">
        <v>300</v>
      </c>
      <c r="AB29" s="20" t="s">
        <v>640</v>
      </c>
      <c r="AC29" s="84" t="s">
        <v>640</v>
      </c>
      <c r="AD29" s="20"/>
      <c r="AE29" s="20"/>
      <c r="AF29" s="83" t="s">
        <v>737</v>
      </c>
      <c r="AG29" s="83"/>
    </row>
    <row r="30" spans="1:33" ht="24.75">
      <c r="A30" s="17"/>
      <c r="B30" s="6" t="s">
        <v>727</v>
      </c>
      <c r="C30" s="2" t="s">
        <v>925</v>
      </c>
      <c r="D30" s="2" t="s">
        <v>926</v>
      </c>
      <c r="E30" s="2" t="s">
        <v>911</v>
      </c>
      <c r="F30" s="19">
        <v>4</v>
      </c>
      <c r="G30" s="26" t="s">
        <v>686</v>
      </c>
      <c r="H30" s="7" t="s">
        <v>636</v>
      </c>
      <c r="I30" s="7"/>
      <c r="J30" s="19">
        <v>2</v>
      </c>
      <c r="K30" s="19">
        <v>1</v>
      </c>
      <c r="L30" s="35">
        <v>225</v>
      </c>
      <c r="M30" s="19">
        <v>305</v>
      </c>
      <c r="N30" s="19">
        <v>225</v>
      </c>
      <c r="O30" s="19">
        <v>0</v>
      </c>
      <c r="P30" s="33" t="s">
        <v>927</v>
      </c>
      <c r="Q30" s="19">
        <f t="shared" si="0"/>
        <v>5.4</v>
      </c>
      <c r="R30" s="15">
        <f t="shared" si="1"/>
        <v>0</v>
      </c>
      <c r="S30" s="19" t="s">
        <v>640</v>
      </c>
      <c r="T30" s="19"/>
      <c r="U30" s="19"/>
      <c r="V30" s="19"/>
      <c r="W30" s="19"/>
      <c r="X30" s="19"/>
      <c r="Y30" s="19"/>
      <c r="Z30" s="19"/>
      <c r="AA30" s="19"/>
      <c r="AB30" s="19"/>
      <c r="AC30" s="19"/>
      <c r="AD30" s="19"/>
      <c r="AE30" s="19"/>
      <c r="AF30" s="58"/>
    </row>
    <row r="31" spans="1:33" ht="30">
      <c r="A31" s="17">
        <f>A29+1</f>
        <v>25</v>
      </c>
      <c r="B31" s="3" t="s">
        <v>727</v>
      </c>
      <c r="C31" s="2" t="s">
        <v>185</v>
      </c>
      <c r="D31" s="2" t="s">
        <v>738</v>
      </c>
      <c r="E31" s="2" t="s">
        <v>634</v>
      </c>
      <c r="F31" s="15">
        <v>2</v>
      </c>
      <c r="G31" s="12" t="s">
        <v>663</v>
      </c>
      <c r="H31" s="5" t="s">
        <v>640</v>
      </c>
      <c r="I31" s="11">
        <v>180</v>
      </c>
      <c r="J31" s="15">
        <v>2</v>
      </c>
      <c r="K31" s="15">
        <v>1</v>
      </c>
      <c r="L31" s="13">
        <v>225</v>
      </c>
      <c r="M31" s="15">
        <v>286</v>
      </c>
      <c r="N31" s="15">
        <v>280</v>
      </c>
      <c r="O31" s="15">
        <v>280</v>
      </c>
      <c r="P31" s="33" t="s">
        <v>739</v>
      </c>
      <c r="Q31" s="15">
        <f t="shared" si="0"/>
        <v>6.72</v>
      </c>
      <c r="R31" s="15">
        <f t="shared" si="1"/>
        <v>6.72</v>
      </c>
      <c r="S31" s="15"/>
      <c r="T31" s="20" t="s">
        <v>638</v>
      </c>
      <c r="U31" s="20" t="s">
        <v>639</v>
      </c>
      <c r="V31" s="20" t="s">
        <v>639</v>
      </c>
      <c r="W31" s="20" t="s">
        <v>641</v>
      </c>
      <c r="X31" s="20" t="s">
        <v>916</v>
      </c>
      <c r="Y31" s="20" t="s">
        <v>640</v>
      </c>
      <c r="Z31" s="20">
        <v>20</v>
      </c>
      <c r="AA31" s="20">
        <v>200</v>
      </c>
      <c r="AB31" s="20" t="s">
        <v>641</v>
      </c>
      <c r="AC31" s="84" t="s">
        <v>640</v>
      </c>
      <c r="AD31" s="20"/>
      <c r="AE31" s="20"/>
      <c r="AF31" s="83" t="s">
        <v>740</v>
      </c>
      <c r="AG31" s="83"/>
    </row>
    <row r="32" spans="1:33" ht="60">
      <c r="A32" s="17">
        <f>A31+1</f>
        <v>26</v>
      </c>
      <c r="B32" s="3" t="s">
        <v>727</v>
      </c>
      <c r="C32" s="2" t="s">
        <v>186</v>
      </c>
      <c r="D32" s="2" t="s">
        <v>741</v>
      </c>
      <c r="E32" s="2" t="s">
        <v>634</v>
      </c>
      <c r="F32" s="15">
        <v>2</v>
      </c>
      <c r="G32" s="12" t="s">
        <v>663</v>
      </c>
      <c r="H32" s="5" t="s">
        <v>640</v>
      </c>
      <c r="I32" s="11">
        <v>300</v>
      </c>
      <c r="J32" s="15">
        <v>3</v>
      </c>
      <c r="K32" s="15">
        <v>2</v>
      </c>
      <c r="L32" s="24" t="s">
        <v>704</v>
      </c>
      <c r="M32" s="15">
        <v>528</v>
      </c>
      <c r="N32" s="15">
        <v>528</v>
      </c>
      <c r="O32" s="15">
        <v>528</v>
      </c>
      <c r="P32" s="44"/>
      <c r="Q32" s="15">
        <f t="shared" si="0"/>
        <v>12.672000000000001</v>
      </c>
      <c r="R32" s="15">
        <f t="shared" si="1"/>
        <v>12.672000000000001</v>
      </c>
      <c r="S32" s="15"/>
      <c r="T32" s="20" t="s">
        <v>638</v>
      </c>
      <c r="U32" s="20" t="s">
        <v>649</v>
      </c>
      <c r="V32" s="20" t="s">
        <v>89</v>
      </c>
      <c r="W32" s="20" t="s">
        <v>641</v>
      </c>
      <c r="X32" s="20" t="s">
        <v>916</v>
      </c>
      <c r="Y32" s="20" t="s">
        <v>641</v>
      </c>
      <c r="Z32" s="20">
        <v>9</v>
      </c>
      <c r="AA32" s="20">
        <v>200</v>
      </c>
      <c r="AB32" s="20" t="s">
        <v>641</v>
      </c>
      <c r="AC32" s="84" t="s">
        <v>640</v>
      </c>
      <c r="AD32" s="20"/>
      <c r="AE32" s="20"/>
      <c r="AF32" s="83" t="s">
        <v>742</v>
      </c>
      <c r="AG32" s="83"/>
    </row>
    <row r="33" spans="1:33" ht="45">
      <c r="A33" s="17">
        <f t="shared" ref="A33:A34" si="4">A32+1</f>
        <v>27</v>
      </c>
      <c r="B33" s="3" t="s">
        <v>727</v>
      </c>
      <c r="C33" s="2" t="s">
        <v>187</v>
      </c>
      <c r="D33" s="2" t="s">
        <v>743</v>
      </c>
      <c r="E33" s="2" t="s">
        <v>634</v>
      </c>
      <c r="F33" s="15">
        <v>2</v>
      </c>
      <c r="G33" s="12" t="s">
        <v>663</v>
      </c>
      <c r="H33" s="5" t="s">
        <v>640</v>
      </c>
      <c r="I33" s="11">
        <v>310</v>
      </c>
      <c r="J33" s="15">
        <v>2</v>
      </c>
      <c r="K33" s="15">
        <v>1</v>
      </c>
      <c r="L33" s="13">
        <v>225</v>
      </c>
      <c r="M33" s="15">
        <v>313</v>
      </c>
      <c r="N33" s="15">
        <v>300</v>
      </c>
      <c r="O33" s="15">
        <v>300</v>
      </c>
      <c r="P33" s="44"/>
      <c r="Q33" s="15">
        <f t="shared" si="0"/>
        <v>7.2</v>
      </c>
      <c r="R33" s="15">
        <f t="shared" si="1"/>
        <v>7.2</v>
      </c>
      <c r="S33" s="15"/>
      <c r="T33" s="20" t="s">
        <v>638</v>
      </c>
      <c r="U33" s="20" t="s">
        <v>649</v>
      </c>
      <c r="V33" s="20" t="s">
        <v>705</v>
      </c>
      <c r="W33" s="20" t="s">
        <v>640</v>
      </c>
      <c r="X33" s="20" t="s">
        <v>916</v>
      </c>
      <c r="Y33" s="20" t="s">
        <v>641</v>
      </c>
      <c r="Z33" s="20">
        <v>22</v>
      </c>
      <c r="AA33" s="20">
        <v>300</v>
      </c>
      <c r="AB33" s="20" t="s">
        <v>641</v>
      </c>
      <c r="AC33" s="84" t="s">
        <v>640</v>
      </c>
      <c r="AD33" s="20"/>
      <c r="AE33" s="20"/>
      <c r="AF33" s="83" t="s">
        <v>744</v>
      </c>
      <c r="AG33" s="83"/>
    </row>
    <row r="34" spans="1:33" ht="60">
      <c r="A34" s="17">
        <f t="shared" si="4"/>
        <v>28</v>
      </c>
      <c r="B34" s="3" t="s">
        <v>727</v>
      </c>
      <c r="C34" s="2" t="s">
        <v>188</v>
      </c>
      <c r="D34" s="2" t="s">
        <v>745</v>
      </c>
      <c r="E34" s="2" t="s">
        <v>634</v>
      </c>
      <c r="F34" s="15">
        <v>2</v>
      </c>
      <c r="G34" s="12" t="s">
        <v>663</v>
      </c>
      <c r="H34" s="5" t="s">
        <v>640</v>
      </c>
      <c r="I34" s="11">
        <v>300</v>
      </c>
      <c r="J34" s="15">
        <v>3</v>
      </c>
      <c r="K34" s="15">
        <v>2</v>
      </c>
      <c r="L34" s="24" t="s">
        <v>704</v>
      </c>
      <c r="M34" s="15">
        <v>622</v>
      </c>
      <c r="N34" s="15">
        <v>580</v>
      </c>
      <c r="O34" s="15">
        <v>580</v>
      </c>
      <c r="P34" s="44"/>
      <c r="Q34" s="15">
        <f t="shared" si="0"/>
        <v>13.92</v>
      </c>
      <c r="R34" s="15">
        <f t="shared" si="1"/>
        <v>13.92</v>
      </c>
      <c r="S34" s="15"/>
      <c r="T34" s="20" t="s">
        <v>638</v>
      </c>
      <c r="U34" s="20" t="s">
        <v>639</v>
      </c>
      <c r="V34" s="20" t="s">
        <v>705</v>
      </c>
      <c r="W34" s="20" t="s">
        <v>649</v>
      </c>
      <c r="X34" s="20" t="s">
        <v>916</v>
      </c>
      <c r="Y34" s="20" t="s">
        <v>641</v>
      </c>
      <c r="Z34" s="20">
        <v>5</v>
      </c>
      <c r="AA34" s="20" t="s">
        <v>689</v>
      </c>
      <c r="AB34" s="20" t="s">
        <v>640</v>
      </c>
      <c r="AC34" s="84" t="s">
        <v>640</v>
      </c>
      <c r="AD34" s="20"/>
      <c r="AE34" s="20"/>
      <c r="AF34" s="83" t="s">
        <v>746</v>
      </c>
      <c r="AG34" s="83"/>
    </row>
    <row r="35" spans="1:33" ht="24.75">
      <c r="A35" s="17"/>
      <c r="B35" s="6" t="s">
        <v>727</v>
      </c>
      <c r="C35" s="2" t="s">
        <v>928</v>
      </c>
      <c r="D35" s="2" t="s">
        <v>929</v>
      </c>
      <c r="E35" s="2" t="s">
        <v>911</v>
      </c>
      <c r="F35" s="19">
        <v>4</v>
      </c>
      <c r="G35" s="26" t="s">
        <v>686</v>
      </c>
      <c r="H35" s="7" t="s">
        <v>636</v>
      </c>
      <c r="I35" s="7"/>
      <c r="J35" s="19">
        <v>3</v>
      </c>
      <c r="K35" s="19">
        <v>2</v>
      </c>
      <c r="L35" s="23" t="s">
        <v>704</v>
      </c>
      <c r="M35" s="19">
        <v>410</v>
      </c>
      <c r="N35" s="19">
        <v>345.625</v>
      </c>
      <c r="O35" s="19">
        <v>345.625</v>
      </c>
      <c r="P35" s="33" t="s">
        <v>930</v>
      </c>
      <c r="Q35" s="19">
        <f t="shared" si="0"/>
        <v>8.2949999999999999</v>
      </c>
      <c r="R35" s="15">
        <f t="shared" si="1"/>
        <v>8.2949999999999999</v>
      </c>
      <c r="S35" s="19"/>
      <c r="T35" s="19"/>
      <c r="U35" s="19"/>
      <c r="V35" s="19"/>
      <c r="W35" s="19"/>
      <c r="X35" s="19"/>
      <c r="Y35" s="19"/>
      <c r="Z35" s="19"/>
      <c r="AA35" s="19"/>
      <c r="AB35" s="19"/>
      <c r="AC35" s="19"/>
      <c r="AD35" s="19"/>
      <c r="AE35" s="19"/>
      <c r="AF35" s="58"/>
    </row>
    <row r="36" spans="1:33" ht="45">
      <c r="A36" s="17">
        <f>A34+1</f>
        <v>29</v>
      </c>
      <c r="B36" s="3" t="s">
        <v>727</v>
      </c>
      <c r="C36" s="2" t="s">
        <v>189</v>
      </c>
      <c r="D36" s="2" t="s">
        <v>747</v>
      </c>
      <c r="E36" s="2" t="s">
        <v>634</v>
      </c>
      <c r="F36" s="15">
        <v>2</v>
      </c>
      <c r="G36" s="12" t="s">
        <v>663</v>
      </c>
      <c r="H36" s="5" t="s">
        <v>640</v>
      </c>
      <c r="I36" s="11">
        <v>350</v>
      </c>
      <c r="J36" s="15">
        <v>3</v>
      </c>
      <c r="K36" s="15">
        <v>2</v>
      </c>
      <c r="L36" s="24" t="s">
        <v>704</v>
      </c>
      <c r="M36" s="15">
        <v>551</v>
      </c>
      <c r="N36" s="15">
        <v>225</v>
      </c>
      <c r="O36" s="15">
        <v>550</v>
      </c>
      <c r="P36" s="33" t="s">
        <v>748</v>
      </c>
      <c r="Q36" s="15">
        <f t="shared" si="0"/>
        <v>5.4</v>
      </c>
      <c r="R36" s="15">
        <f t="shared" si="1"/>
        <v>13.2</v>
      </c>
      <c r="S36" s="15"/>
      <c r="T36" s="20" t="s">
        <v>638</v>
      </c>
      <c r="U36" s="20" t="s">
        <v>649</v>
      </c>
      <c r="V36" s="20" t="s">
        <v>705</v>
      </c>
      <c r="W36" s="20" t="s">
        <v>640</v>
      </c>
      <c r="X36" s="20" t="s">
        <v>931</v>
      </c>
      <c r="Y36" s="20" t="s">
        <v>641</v>
      </c>
      <c r="Z36" s="20">
        <v>6</v>
      </c>
      <c r="AA36" s="20">
        <v>300</v>
      </c>
      <c r="AB36" s="20" t="s">
        <v>640</v>
      </c>
      <c r="AC36" s="84" t="s">
        <v>640</v>
      </c>
      <c r="AD36" s="20"/>
      <c r="AE36" s="20"/>
      <c r="AF36" s="83" t="s">
        <v>749</v>
      </c>
      <c r="AG36" s="83"/>
    </row>
    <row r="37" spans="1:33" ht="45">
      <c r="A37" s="17">
        <f>A36+1</f>
        <v>30</v>
      </c>
      <c r="B37" s="3" t="s">
        <v>727</v>
      </c>
      <c r="C37" s="2" t="s">
        <v>190</v>
      </c>
      <c r="D37" s="2" t="s">
        <v>750</v>
      </c>
      <c r="E37" s="2" t="s">
        <v>634</v>
      </c>
      <c r="F37" s="15">
        <v>1</v>
      </c>
      <c r="G37" s="12" t="s">
        <v>635</v>
      </c>
      <c r="H37" s="4" t="s">
        <v>636</v>
      </c>
      <c r="I37" s="4"/>
      <c r="J37" s="15">
        <v>2</v>
      </c>
      <c r="K37" s="15" t="s">
        <v>637</v>
      </c>
      <c r="L37" s="13" t="s">
        <v>637</v>
      </c>
      <c r="M37" s="15">
        <v>449</v>
      </c>
      <c r="N37" s="15">
        <v>449</v>
      </c>
      <c r="O37" s="15">
        <v>449</v>
      </c>
      <c r="P37" s="44"/>
      <c r="Q37" s="15">
        <f t="shared" si="0"/>
        <v>10.776</v>
      </c>
      <c r="R37" s="15">
        <f t="shared" ref="R37:R54" si="5">O37*1000*24/1000000</f>
        <v>10.776</v>
      </c>
      <c r="S37" s="15"/>
      <c r="T37" s="20" t="s">
        <v>638</v>
      </c>
      <c r="U37" s="20" t="s">
        <v>639</v>
      </c>
      <c r="V37" s="20" t="s">
        <v>649</v>
      </c>
      <c r="W37" s="20" t="s">
        <v>641</v>
      </c>
      <c r="X37" s="20" t="s">
        <v>916</v>
      </c>
      <c r="Y37" s="20" t="s">
        <v>641</v>
      </c>
      <c r="Z37" s="116" t="s">
        <v>696</v>
      </c>
      <c r="AA37" s="20">
        <v>200</v>
      </c>
      <c r="AB37" s="20" t="s">
        <v>640</v>
      </c>
      <c r="AC37" s="84" t="s">
        <v>640</v>
      </c>
      <c r="AD37" s="20"/>
      <c r="AE37" s="20"/>
      <c r="AF37" s="83" t="s">
        <v>751</v>
      </c>
      <c r="AG37" s="83" t="s">
        <v>752</v>
      </c>
    </row>
    <row r="38" spans="1:33" ht="45">
      <c r="A38" s="17">
        <f>A37+1</f>
        <v>31</v>
      </c>
      <c r="B38" s="3" t="s">
        <v>727</v>
      </c>
      <c r="C38" s="2" t="s">
        <v>191</v>
      </c>
      <c r="D38" s="2" t="s">
        <v>753</v>
      </c>
      <c r="E38" s="2" t="s">
        <v>634</v>
      </c>
      <c r="F38" s="15">
        <v>2</v>
      </c>
      <c r="G38" s="12" t="s">
        <v>663</v>
      </c>
      <c r="H38" s="5" t="s">
        <v>640</v>
      </c>
      <c r="I38" s="5"/>
      <c r="J38" s="15">
        <v>5</v>
      </c>
      <c r="K38" s="15">
        <v>2</v>
      </c>
      <c r="L38" s="24" t="s">
        <v>704</v>
      </c>
      <c r="M38" s="15">
        <v>455</v>
      </c>
      <c r="N38" s="15">
        <v>225</v>
      </c>
      <c r="O38" s="15">
        <v>450</v>
      </c>
      <c r="P38" s="33" t="s">
        <v>754</v>
      </c>
      <c r="Q38" s="15">
        <f t="shared" si="0"/>
        <v>5.4</v>
      </c>
      <c r="R38" s="15">
        <f t="shared" si="5"/>
        <v>10.8</v>
      </c>
      <c r="S38" s="15"/>
      <c r="T38" s="20" t="s">
        <v>638</v>
      </c>
      <c r="U38" s="20" t="s">
        <v>639</v>
      </c>
      <c r="V38" s="20" t="s">
        <v>639</v>
      </c>
      <c r="W38" s="20" t="s">
        <v>641</v>
      </c>
      <c r="X38" s="20" t="s">
        <v>916</v>
      </c>
      <c r="Y38" s="20" t="s">
        <v>640</v>
      </c>
      <c r="Z38" s="116" t="s">
        <v>696</v>
      </c>
      <c r="AA38" s="20">
        <v>200</v>
      </c>
      <c r="AB38" s="20" t="s">
        <v>640</v>
      </c>
      <c r="AC38" s="84" t="s">
        <v>640</v>
      </c>
      <c r="AD38" s="20"/>
      <c r="AE38" s="20"/>
      <c r="AF38" s="83" t="s">
        <v>755</v>
      </c>
      <c r="AG38" s="83" t="s">
        <v>756</v>
      </c>
    </row>
    <row r="39" spans="1:33" ht="38.25">
      <c r="A39" s="17">
        <f>A38+1</f>
        <v>32</v>
      </c>
      <c r="B39" s="3" t="s">
        <v>727</v>
      </c>
      <c r="C39" s="2" t="s">
        <v>192</v>
      </c>
      <c r="D39" s="2" t="s">
        <v>757</v>
      </c>
      <c r="E39" s="2" t="s">
        <v>634</v>
      </c>
      <c r="F39" s="15">
        <v>2</v>
      </c>
      <c r="G39" s="12" t="s">
        <v>663</v>
      </c>
      <c r="H39" s="5" t="s">
        <v>640</v>
      </c>
      <c r="I39" s="11">
        <f>150+165</f>
        <v>315</v>
      </c>
      <c r="J39" s="15">
        <v>4</v>
      </c>
      <c r="K39" s="15">
        <v>2</v>
      </c>
      <c r="L39" s="24" t="s">
        <v>704</v>
      </c>
      <c r="M39" s="15">
        <v>487</v>
      </c>
      <c r="N39" s="15">
        <v>450</v>
      </c>
      <c r="O39" s="15">
        <v>450</v>
      </c>
      <c r="P39" s="33" t="s">
        <v>758</v>
      </c>
      <c r="Q39" s="15">
        <f t="shared" si="0"/>
        <v>10.8</v>
      </c>
      <c r="R39" s="15">
        <f t="shared" si="5"/>
        <v>10.8</v>
      </c>
      <c r="S39" s="15"/>
      <c r="T39" s="20" t="s">
        <v>675</v>
      </c>
      <c r="U39" s="20" t="s">
        <v>639</v>
      </c>
      <c r="V39" s="20" t="s">
        <v>639</v>
      </c>
      <c r="W39" s="20" t="s">
        <v>641</v>
      </c>
      <c r="X39" s="20" t="s">
        <v>917</v>
      </c>
      <c r="Y39" s="20" t="s">
        <v>641</v>
      </c>
      <c r="Z39" s="20">
        <v>3</v>
      </c>
      <c r="AA39" s="20">
        <v>200</v>
      </c>
      <c r="AB39" s="20" t="s">
        <v>640</v>
      </c>
      <c r="AC39" s="84" t="s">
        <v>640</v>
      </c>
      <c r="AD39" s="20"/>
      <c r="AE39" s="20"/>
      <c r="AF39" s="83" t="s">
        <v>759</v>
      </c>
      <c r="AG39" s="85" t="s">
        <v>714</v>
      </c>
    </row>
    <row r="40" spans="1:33" ht="45">
      <c r="A40" s="17">
        <f t="shared" ref="A40:A46" si="6">A39+1</f>
        <v>33</v>
      </c>
      <c r="B40" s="3" t="s">
        <v>727</v>
      </c>
      <c r="C40" s="2" t="s">
        <v>193</v>
      </c>
      <c r="D40" s="2" t="s">
        <v>760</v>
      </c>
      <c r="E40" s="2" t="s">
        <v>634</v>
      </c>
      <c r="F40" s="15">
        <v>2</v>
      </c>
      <c r="G40" s="12" t="s">
        <v>663</v>
      </c>
      <c r="H40" s="5" t="s">
        <v>640</v>
      </c>
      <c r="I40" s="11">
        <v>250</v>
      </c>
      <c r="J40" s="15">
        <v>3</v>
      </c>
      <c r="K40" s="15">
        <v>2</v>
      </c>
      <c r="L40" s="24" t="s">
        <v>704</v>
      </c>
      <c r="M40" s="15">
        <v>510</v>
      </c>
      <c r="N40" s="15">
        <v>450</v>
      </c>
      <c r="O40" s="15">
        <v>450</v>
      </c>
      <c r="P40" s="44"/>
      <c r="Q40" s="15">
        <f t="shared" si="0"/>
        <v>10.8</v>
      </c>
      <c r="R40" s="15">
        <f t="shared" si="5"/>
        <v>10.8</v>
      </c>
      <c r="S40" s="15"/>
      <c r="T40" s="20" t="s">
        <v>638</v>
      </c>
      <c r="U40" s="20" t="s">
        <v>89</v>
      </c>
      <c r="V40" s="20" t="s">
        <v>639</v>
      </c>
      <c r="W40" s="20" t="s">
        <v>641</v>
      </c>
      <c r="X40" s="20" t="s">
        <v>917</v>
      </c>
      <c r="Y40" s="20" t="s">
        <v>641</v>
      </c>
      <c r="Z40" s="20" t="s">
        <v>761</v>
      </c>
      <c r="AA40" s="20">
        <v>250</v>
      </c>
      <c r="AB40" s="20" t="s">
        <v>641</v>
      </c>
      <c r="AC40" s="84" t="s">
        <v>640</v>
      </c>
      <c r="AD40" s="20" t="s">
        <v>932</v>
      </c>
      <c r="AE40" s="20"/>
      <c r="AF40" s="83" t="s">
        <v>762</v>
      </c>
      <c r="AG40" s="83" t="s">
        <v>763</v>
      </c>
    </row>
    <row r="41" spans="1:33" ht="60">
      <c r="A41" s="17">
        <f t="shared" si="6"/>
        <v>34</v>
      </c>
      <c r="B41" s="3" t="s">
        <v>727</v>
      </c>
      <c r="C41" s="2" t="s">
        <v>194</v>
      </c>
      <c r="D41" s="2" t="s">
        <v>764</v>
      </c>
      <c r="E41" s="2" t="s">
        <v>634</v>
      </c>
      <c r="F41" s="15">
        <v>4</v>
      </c>
      <c r="G41" s="12" t="s">
        <v>686</v>
      </c>
      <c r="H41" s="4" t="s">
        <v>636</v>
      </c>
      <c r="I41" s="4"/>
      <c r="J41" s="15">
        <v>3</v>
      </c>
      <c r="K41" s="15">
        <v>2</v>
      </c>
      <c r="L41" s="24" t="s">
        <v>704</v>
      </c>
      <c r="M41" s="15">
        <v>511</v>
      </c>
      <c r="N41" s="15">
        <v>511</v>
      </c>
      <c r="O41" s="15">
        <v>511</v>
      </c>
      <c r="P41" s="44"/>
      <c r="Q41" s="15">
        <f t="shared" si="0"/>
        <v>12.263999999999999</v>
      </c>
      <c r="R41" s="15">
        <f t="shared" si="5"/>
        <v>12.263999999999999</v>
      </c>
      <c r="S41" s="15"/>
      <c r="T41" s="20" t="s">
        <v>638</v>
      </c>
      <c r="U41" s="20" t="s">
        <v>649</v>
      </c>
      <c r="V41" s="20" t="s">
        <v>89</v>
      </c>
      <c r="W41" s="20" t="s">
        <v>640</v>
      </c>
      <c r="X41" s="20" t="s">
        <v>916</v>
      </c>
      <c r="Y41" s="20" t="s">
        <v>640</v>
      </c>
      <c r="Z41" s="116" t="s">
        <v>696</v>
      </c>
      <c r="AA41" s="20">
        <v>375</v>
      </c>
      <c r="AB41" s="20" t="s">
        <v>641</v>
      </c>
      <c r="AC41" s="84" t="s">
        <v>640</v>
      </c>
      <c r="AD41" s="20"/>
      <c r="AE41" s="20"/>
      <c r="AF41" s="83" t="s">
        <v>765</v>
      </c>
      <c r="AG41" s="83" t="s">
        <v>766</v>
      </c>
    </row>
    <row r="42" spans="1:33" ht="45">
      <c r="A42" s="17">
        <f t="shared" si="6"/>
        <v>35</v>
      </c>
      <c r="B42" s="3" t="s">
        <v>727</v>
      </c>
      <c r="C42" s="2" t="s">
        <v>195</v>
      </c>
      <c r="D42" s="2" t="s">
        <v>767</v>
      </c>
      <c r="E42" s="2" t="s">
        <v>634</v>
      </c>
      <c r="F42" s="15">
        <v>1</v>
      </c>
      <c r="G42" s="12" t="s">
        <v>635</v>
      </c>
      <c r="H42" s="4" t="s">
        <v>636</v>
      </c>
      <c r="I42" s="4"/>
      <c r="J42" s="15">
        <v>2</v>
      </c>
      <c r="K42" s="15" t="s">
        <v>637</v>
      </c>
      <c r="L42" s="13" t="s">
        <v>637</v>
      </c>
      <c r="M42" s="15">
        <v>137</v>
      </c>
      <c r="N42" s="15">
        <v>137</v>
      </c>
      <c r="O42" s="15">
        <v>137</v>
      </c>
      <c r="P42" s="44"/>
      <c r="Q42" s="15">
        <f t="shared" si="0"/>
        <v>3.2879999999999998</v>
      </c>
      <c r="R42" s="15">
        <f t="shared" si="5"/>
        <v>3.2879999999999998</v>
      </c>
      <c r="S42" s="15"/>
      <c r="T42" s="20" t="s">
        <v>638</v>
      </c>
      <c r="U42" s="20" t="s">
        <v>639</v>
      </c>
      <c r="V42" s="20" t="s">
        <v>639</v>
      </c>
      <c r="W42" s="20" t="s">
        <v>641</v>
      </c>
      <c r="X42" s="20" t="s">
        <v>916</v>
      </c>
      <c r="Y42" s="20" t="s">
        <v>640</v>
      </c>
      <c r="Z42" s="20" t="s">
        <v>768</v>
      </c>
      <c r="AA42" s="20">
        <v>200</v>
      </c>
      <c r="AB42" s="20" t="s">
        <v>641</v>
      </c>
      <c r="AC42" s="84" t="s">
        <v>640</v>
      </c>
      <c r="AD42" s="20"/>
      <c r="AE42" s="20"/>
      <c r="AF42" s="83" t="s">
        <v>769</v>
      </c>
      <c r="AG42" s="83" t="s">
        <v>770</v>
      </c>
    </row>
    <row r="43" spans="1:33" ht="45">
      <c r="A43" s="17">
        <f t="shared" si="6"/>
        <v>36</v>
      </c>
      <c r="B43" s="3" t="s">
        <v>771</v>
      </c>
      <c r="C43" s="2" t="s">
        <v>196</v>
      </c>
      <c r="D43" s="2" t="s">
        <v>772</v>
      </c>
      <c r="E43" s="2" t="s">
        <v>634</v>
      </c>
      <c r="F43" s="15">
        <v>3</v>
      </c>
      <c r="G43" s="12" t="s">
        <v>647</v>
      </c>
      <c r="H43" s="4" t="s">
        <v>636</v>
      </c>
      <c r="I43" s="4"/>
      <c r="J43" s="15">
        <v>3</v>
      </c>
      <c r="K43" s="15">
        <v>2</v>
      </c>
      <c r="L43" s="24" t="s">
        <v>773</v>
      </c>
      <c r="M43" s="15">
        <v>557.67758209228521</v>
      </c>
      <c r="N43" s="15">
        <v>557.67758209228521</v>
      </c>
      <c r="O43" s="15">
        <v>557.67758209228521</v>
      </c>
      <c r="P43" s="44"/>
      <c r="Q43" s="15">
        <f t="shared" si="0"/>
        <v>13.384261970214844</v>
      </c>
      <c r="R43" s="15">
        <f t="shared" si="5"/>
        <v>13.384261970214844</v>
      </c>
      <c r="S43" s="15"/>
      <c r="T43" s="20" t="s">
        <v>638</v>
      </c>
      <c r="U43" s="20" t="s">
        <v>649</v>
      </c>
      <c r="V43" s="20" t="s">
        <v>639</v>
      </c>
      <c r="W43" s="20" t="s">
        <v>641</v>
      </c>
      <c r="X43" s="20" t="s">
        <v>917</v>
      </c>
      <c r="Y43" s="20" t="s">
        <v>641</v>
      </c>
      <c r="Z43" s="20" t="s">
        <v>761</v>
      </c>
      <c r="AA43" s="20">
        <v>300</v>
      </c>
      <c r="AB43" s="20" t="s">
        <v>641</v>
      </c>
      <c r="AC43" s="84" t="s">
        <v>640</v>
      </c>
      <c r="AD43" s="20"/>
      <c r="AE43" s="20"/>
      <c r="AF43" s="83" t="s">
        <v>774</v>
      </c>
      <c r="AG43" s="83" t="s">
        <v>775</v>
      </c>
    </row>
    <row r="44" spans="1:33" ht="60">
      <c r="A44" s="17">
        <f t="shared" si="6"/>
        <v>37</v>
      </c>
      <c r="B44" s="3" t="s">
        <v>771</v>
      </c>
      <c r="C44" s="2" t="s">
        <v>197</v>
      </c>
      <c r="D44" s="2" t="s">
        <v>776</v>
      </c>
      <c r="E44" s="2" t="s">
        <v>634</v>
      </c>
      <c r="F44" s="15">
        <v>1</v>
      </c>
      <c r="G44" s="12" t="s">
        <v>635</v>
      </c>
      <c r="H44" s="4" t="s">
        <v>636</v>
      </c>
      <c r="I44" s="4"/>
      <c r="J44" s="15">
        <v>1</v>
      </c>
      <c r="K44" s="15" t="s">
        <v>637</v>
      </c>
      <c r="L44" s="13" t="s">
        <v>637</v>
      </c>
      <c r="M44" s="15">
        <v>249</v>
      </c>
      <c r="N44" s="15">
        <v>120</v>
      </c>
      <c r="O44" s="15">
        <v>120</v>
      </c>
      <c r="P44" s="44"/>
      <c r="Q44" s="15">
        <f t="shared" si="0"/>
        <v>2.88</v>
      </c>
      <c r="R44" s="15">
        <f t="shared" si="5"/>
        <v>2.88</v>
      </c>
      <c r="S44" s="15"/>
      <c r="T44" s="20" t="s">
        <v>638</v>
      </c>
      <c r="U44" s="20" t="s">
        <v>639</v>
      </c>
      <c r="V44" s="97" t="s">
        <v>924</v>
      </c>
      <c r="W44" s="20" t="s">
        <v>641</v>
      </c>
      <c r="X44" s="20" t="s">
        <v>916</v>
      </c>
      <c r="Y44" s="20" t="s">
        <v>640</v>
      </c>
      <c r="Z44" s="20">
        <v>5</v>
      </c>
      <c r="AA44" s="20">
        <v>200</v>
      </c>
      <c r="AB44" s="20" t="s">
        <v>640</v>
      </c>
      <c r="AC44" s="84" t="s">
        <v>640</v>
      </c>
      <c r="AD44" s="20"/>
      <c r="AE44" s="20"/>
      <c r="AF44" s="83" t="s">
        <v>777</v>
      </c>
      <c r="AG44" s="83" t="s">
        <v>778</v>
      </c>
    </row>
    <row r="45" spans="1:33" ht="30">
      <c r="A45" s="17">
        <f t="shared" si="6"/>
        <v>38</v>
      </c>
      <c r="B45" s="3" t="s">
        <v>779</v>
      </c>
      <c r="C45" s="2" t="s">
        <v>198</v>
      </c>
      <c r="D45" s="2" t="s">
        <v>780</v>
      </c>
      <c r="E45" s="2" t="s">
        <v>634</v>
      </c>
      <c r="F45" s="15">
        <v>2</v>
      </c>
      <c r="G45" s="12" t="s">
        <v>663</v>
      </c>
      <c r="H45" s="5" t="s">
        <v>640</v>
      </c>
      <c r="I45" s="5">
        <v>180</v>
      </c>
      <c r="J45" s="15">
        <v>3</v>
      </c>
      <c r="K45" s="15">
        <v>2</v>
      </c>
      <c r="L45" s="24" t="s">
        <v>781</v>
      </c>
      <c r="M45" s="15">
        <v>634</v>
      </c>
      <c r="N45" s="15">
        <v>666.66666666666663</v>
      </c>
      <c r="O45" s="15">
        <v>666.66666666666663</v>
      </c>
      <c r="P45" s="33" t="s">
        <v>782</v>
      </c>
      <c r="Q45" s="15">
        <f t="shared" si="0"/>
        <v>16</v>
      </c>
      <c r="R45" s="15">
        <f t="shared" si="5"/>
        <v>16</v>
      </c>
      <c r="S45" s="15"/>
      <c r="T45" s="20" t="s">
        <v>638</v>
      </c>
      <c r="U45" s="20" t="s">
        <v>639</v>
      </c>
      <c r="V45" s="20" t="s">
        <v>639</v>
      </c>
      <c r="W45" s="20" t="s">
        <v>641</v>
      </c>
      <c r="X45" s="20" t="s">
        <v>916</v>
      </c>
      <c r="Y45" s="20" t="s">
        <v>640</v>
      </c>
      <c r="Z45" s="20" t="s">
        <v>783</v>
      </c>
      <c r="AA45" s="20">
        <v>300</v>
      </c>
      <c r="AB45" s="20" t="s">
        <v>640</v>
      </c>
      <c r="AC45" s="84" t="s">
        <v>640</v>
      </c>
      <c r="AD45" s="20"/>
      <c r="AE45" s="20"/>
      <c r="AF45" s="83" t="s">
        <v>784</v>
      </c>
      <c r="AG45" s="83"/>
    </row>
    <row r="46" spans="1:33" ht="45">
      <c r="A46" s="17">
        <f t="shared" si="6"/>
        <v>39</v>
      </c>
      <c r="B46" s="3" t="s">
        <v>779</v>
      </c>
      <c r="C46" s="2" t="s">
        <v>199</v>
      </c>
      <c r="D46" s="2" t="s">
        <v>785</v>
      </c>
      <c r="E46" s="2" t="s">
        <v>634</v>
      </c>
      <c r="F46" s="15">
        <v>2</v>
      </c>
      <c r="G46" s="12" t="s">
        <v>663</v>
      </c>
      <c r="H46" s="5" t="s">
        <v>640</v>
      </c>
      <c r="I46" s="5">
        <v>400</v>
      </c>
      <c r="J46" s="15">
        <v>3</v>
      </c>
      <c r="K46" s="15">
        <v>3</v>
      </c>
      <c r="L46" s="24" t="s">
        <v>786</v>
      </c>
      <c r="M46" s="15">
        <v>639</v>
      </c>
      <c r="N46" s="15">
        <v>545</v>
      </c>
      <c r="O46" s="15">
        <v>545</v>
      </c>
      <c r="P46" s="44"/>
      <c r="Q46" s="15">
        <f t="shared" si="0"/>
        <v>13.08</v>
      </c>
      <c r="R46" s="15">
        <f t="shared" si="5"/>
        <v>13.08</v>
      </c>
      <c r="S46" s="15" t="s">
        <v>640</v>
      </c>
      <c r="T46" s="20" t="s">
        <v>638</v>
      </c>
      <c r="U46" s="20" t="s">
        <v>89</v>
      </c>
      <c r="V46" s="20" t="s">
        <v>89</v>
      </c>
      <c r="W46" s="20" t="s">
        <v>641</v>
      </c>
      <c r="X46" s="20" t="s">
        <v>916</v>
      </c>
      <c r="Y46" s="20" t="s">
        <v>640</v>
      </c>
      <c r="Z46" s="116" t="s">
        <v>696</v>
      </c>
      <c r="AA46" s="20">
        <v>250</v>
      </c>
      <c r="AB46" s="20" t="s">
        <v>923</v>
      </c>
      <c r="AC46" s="84" t="s">
        <v>640</v>
      </c>
      <c r="AD46" s="20"/>
      <c r="AE46" s="20"/>
      <c r="AF46" s="83" t="s">
        <v>787</v>
      </c>
      <c r="AG46" s="83" t="s">
        <v>788</v>
      </c>
    </row>
    <row r="47" spans="1:33" ht="24.75">
      <c r="A47" s="17"/>
      <c r="B47" s="6" t="s">
        <v>201</v>
      </c>
      <c r="C47" s="2" t="s">
        <v>933</v>
      </c>
      <c r="D47" s="2" t="s">
        <v>934</v>
      </c>
      <c r="E47" s="2" t="s">
        <v>935</v>
      </c>
      <c r="F47" s="19">
        <v>4</v>
      </c>
      <c r="G47" s="26" t="s">
        <v>686</v>
      </c>
      <c r="H47" s="7" t="s">
        <v>636</v>
      </c>
      <c r="I47" s="7"/>
      <c r="J47" s="19">
        <v>2</v>
      </c>
      <c r="K47" s="19">
        <v>3</v>
      </c>
      <c r="L47" s="23" t="s">
        <v>936</v>
      </c>
      <c r="M47" s="19">
        <v>352</v>
      </c>
      <c r="N47" s="19">
        <v>0</v>
      </c>
      <c r="O47" s="19">
        <v>0</v>
      </c>
      <c r="P47" s="33" t="s">
        <v>937</v>
      </c>
      <c r="Q47" s="19">
        <f t="shared" si="0"/>
        <v>0</v>
      </c>
      <c r="R47" s="15">
        <f t="shared" si="5"/>
        <v>0</v>
      </c>
      <c r="S47" s="19" t="s">
        <v>640</v>
      </c>
      <c r="T47" s="19"/>
      <c r="U47" s="19"/>
      <c r="V47" s="19"/>
      <c r="W47" s="19"/>
      <c r="X47" s="19"/>
      <c r="Y47" s="19"/>
      <c r="Z47" s="19"/>
      <c r="AA47" s="19"/>
      <c r="AB47" s="19"/>
      <c r="AC47" s="19"/>
      <c r="AD47" s="19"/>
      <c r="AE47" s="19"/>
      <c r="AF47" s="58"/>
    </row>
    <row r="48" spans="1:33" ht="24.75">
      <c r="A48" s="17"/>
      <c r="B48" s="6" t="s">
        <v>201</v>
      </c>
      <c r="C48" s="2" t="s">
        <v>938</v>
      </c>
      <c r="D48" s="2" t="s">
        <v>939</v>
      </c>
      <c r="E48" s="2" t="s">
        <v>935</v>
      </c>
      <c r="F48" s="19">
        <v>4</v>
      </c>
      <c r="G48" s="26" t="s">
        <v>686</v>
      </c>
      <c r="H48" s="7" t="s">
        <v>636</v>
      </c>
      <c r="I48" s="7"/>
      <c r="J48" s="19">
        <v>1</v>
      </c>
      <c r="K48" s="19">
        <v>1</v>
      </c>
      <c r="L48" s="35">
        <v>270</v>
      </c>
      <c r="M48" s="19">
        <v>241</v>
      </c>
      <c r="N48" s="19">
        <v>0</v>
      </c>
      <c r="O48" s="19">
        <v>0</v>
      </c>
      <c r="P48" s="33" t="s">
        <v>937</v>
      </c>
      <c r="Q48" s="19">
        <f t="shared" si="0"/>
        <v>0</v>
      </c>
      <c r="R48" s="15">
        <f t="shared" si="5"/>
        <v>0</v>
      </c>
      <c r="S48" s="19"/>
      <c r="T48" s="19"/>
      <c r="U48" s="19"/>
      <c r="V48" s="19"/>
      <c r="W48" s="19"/>
      <c r="X48" s="19"/>
      <c r="Y48" s="19"/>
      <c r="Z48" s="19"/>
      <c r="AA48" s="19"/>
      <c r="AB48" s="19"/>
      <c r="AC48" s="19"/>
      <c r="AD48" s="19"/>
      <c r="AE48" s="19"/>
      <c r="AF48" s="58"/>
    </row>
    <row r="49" spans="1:33" ht="45">
      <c r="A49" s="17">
        <f>A46+1</f>
        <v>40</v>
      </c>
      <c r="B49" s="3" t="s">
        <v>201</v>
      </c>
      <c r="C49" s="2" t="s">
        <v>200</v>
      </c>
      <c r="D49" s="2" t="s">
        <v>789</v>
      </c>
      <c r="E49" s="2" t="s">
        <v>634</v>
      </c>
      <c r="F49" s="15">
        <v>4</v>
      </c>
      <c r="G49" s="12" t="s">
        <v>686</v>
      </c>
      <c r="H49" s="4" t="s">
        <v>636</v>
      </c>
      <c r="I49" s="4"/>
      <c r="J49" s="15">
        <v>2</v>
      </c>
      <c r="K49" s="15">
        <v>2</v>
      </c>
      <c r="L49" s="24" t="s">
        <v>790</v>
      </c>
      <c r="M49" s="15">
        <v>412</v>
      </c>
      <c r="N49" s="15">
        <v>440</v>
      </c>
      <c r="O49" s="15">
        <v>440</v>
      </c>
      <c r="P49" s="44"/>
      <c r="Q49" s="15">
        <f t="shared" si="0"/>
        <v>10.56</v>
      </c>
      <c r="R49" s="15">
        <f t="shared" si="5"/>
        <v>10.56</v>
      </c>
      <c r="S49" s="15"/>
      <c r="T49" s="20" t="s">
        <v>638</v>
      </c>
      <c r="U49" s="20" t="s">
        <v>649</v>
      </c>
      <c r="V49" s="20" t="s">
        <v>639</v>
      </c>
      <c r="W49" s="20" t="s">
        <v>641</v>
      </c>
      <c r="X49" s="20" t="s">
        <v>917</v>
      </c>
      <c r="Y49" s="20" t="s">
        <v>641</v>
      </c>
      <c r="Z49" s="20">
        <v>19</v>
      </c>
      <c r="AA49" s="20">
        <v>300</v>
      </c>
      <c r="AB49" s="20" t="s">
        <v>641</v>
      </c>
      <c r="AC49" s="84" t="s">
        <v>640</v>
      </c>
      <c r="AD49" s="20"/>
      <c r="AE49" s="20"/>
      <c r="AF49" s="83" t="s">
        <v>791</v>
      </c>
      <c r="AG49" s="83" t="s">
        <v>775</v>
      </c>
    </row>
    <row r="50" spans="1:33" ht="45">
      <c r="A50" s="17">
        <f>A49+1</f>
        <v>41</v>
      </c>
      <c r="B50" s="3" t="s">
        <v>201</v>
      </c>
      <c r="C50" s="2" t="s">
        <v>201</v>
      </c>
      <c r="D50" s="2" t="s">
        <v>792</v>
      </c>
      <c r="E50" s="2" t="s">
        <v>634</v>
      </c>
      <c r="F50" s="15">
        <v>4</v>
      </c>
      <c r="G50" s="12" t="s">
        <v>686</v>
      </c>
      <c r="H50" s="4" t="s">
        <v>636</v>
      </c>
      <c r="I50" s="4"/>
      <c r="J50" s="15">
        <v>3</v>
      </c>
      <c r="K50" s="15">
        <v>3</v>
      </c>
      <c r="L50" s="24" t="s">
        <v>793</v>
      </c>
      <c r="M50" s="15">
        <v>499</v>
      </c>
      <c r="N50" s="15">
        <v>500</v>
      </c>
      <c r="O50" s="15">
        <v>500</v>
      </c>
      <c r="P50" s="44"/>
      <c r="Q50" s="15">
        <f t="shared" si="0"/>
        <v>12</v>
      </c>
      <c r="R50" s="15">
        <f t="shared" si="5"/>
        <v>12</v>
      </c>
      <c r="S50" s="15"/>
      <c r="T50" s="20" t="s">
        <v>638</v>
      </c>
      <c r="U50" s="20" t="s">
        <v>649</v>
      </c>
      <c r="V50" s="20" t="s">
        <v>639</v>
      </c>
      <c r="W50" s="20" t="s">
        <v>641</v>
      </c>
      <c r="X50" s="20" t="s">
        <v>917</v>
      </c>
      <c r="Y50" s="20" t="s">
        <v>641</v>
      </c>
      <c r="Z50" s="20" t="s">
        <v>761</v>
      </c>
      <c r="AA50" s="20">
        <v>300</v>
      </c>
      <c r="AB50" s="20" t="s">
        <v>641</v>
      </c>
      <c r="AC50" s="84" t="s">
        <v>640</v>
      </c>
      <c r="AD50" s="20"/>
      <c r="AE50" s="20"/>
      <c r="AF50" s="83" t="s">
        <v>794</v>
      </c>
      <c r="AG50" s="83"/>
    </row>
    <row r="51" spans="1:33" ht="30">
      <c r="A51" s="17">
        <f>A50+1</f>
        <v>42</v>
      </c>
      <c r="B51" s="3" t="s">
        <v>201</v>
      </c>
      <c r="C51" s="2" t="s">
        <v>202</v>
      </c>
      <c r="D51" s="2" t="s">
        <v>795</v>
      </c>
      <c r="E51" s="2" t="s">
        <v>634</v>
      </c>
      <c r="F51" s="15">
        <v>2</v>
      </c>
      <c r="G51" s="12" t="s">
        <v>663</v>
      </c>
      <c r="H51" s="5" t="s">
        <v>640</v>
      </c>
      <c r="I51" s="5">
        <v>500</v>
      </c>
      <c r="J51" s="15">
        <v>4</v>
      </c>
      <c r="K51" s="15">
        <v>3</v>
      </c>
      <c r="L51" s="24" t="s">
        <v>796</v>
      </c>
      <c r="M51" s="15">
        <v>768</v>
      </c>
      <c r="N51" s="15">
        <v>768</v>
      </c>
      <c r="O51" s="15">
        <v>768</v>
      </c>
      <c r="P51" s="44"/>
      <c r="Q51" s="15">
        <f t="shared" si="0"/>
        <v>18.431999999999999</v>
      </c>
      <c r="R51" s="15">
        <f t="shared" si="5"/>
        <v>18.431999999999999</v>
      </c>
      <c r="S51" s="15"/>
      <c r="T51" s="20" t="s">
        <v>638</v>
      </c>
      <c r="U51" s="20" t="s">
        <v>639</v>
      </c>
      <c r="V51" s="20" t="s">
        <v>639</v>
      </c>
      <c r="W51" s="20" t="s">
        <v>641</v>
      </c>
      <c r="X51" s="20" t="s">
        <v>916</v>
      </c>
      <c r="Y51" s="20" t="s">
        <v>641</v>
      </c>
      <c r="Z51" s="116" t="s">
        <v>696</v>
      </c>
      <c r="AA51" s="20">
        <v>300</v>
      </c>
      <c r="AB51" s="20" t="s">
        <v>641</v>
      </c>
      <c r="AC51" s="84" t="s">
        <v>640</v>
      </c>
      <c r="AD51" s="20"/>
      <c r="AE51" s="20"/>
      <c r="AF51" s="83" t="s">
        <v>797</v>
      </c>
      <c r="AG51" s="83" t="s">
        <v>798</v>
      </c>
    </row>
    <row r="52" spans="1:33" s="1" customFormat="1" ht="30">
      <c r="A52" s="17">
        <f t="shared" ref="A52:A53" si="7">A51+1</f>
        <v>43</v>
      </c>
      <c r="B52" s="8" t="s">
        <v>799</v>
      </c>
      <c r="C52" s="2" t="s">
        <v>203</v>
      </c>
      <c r="D52" s="2" t="s">
        <v>800</v>
      </c>
      <c r="E52" s="2" t="s">
        <v>634</v>
      </c>
      <c r="F52" s="15">
        <v>1</v>
      </c>
      <c r="G52" s="12" t="s">
        <v>635</v>
      </c>
      <c r="H52" s="10" t="s">
        <v>636</v>
      </c>
      <c r="I52" s="10"/>
      <c r="J52" s="15">
        <v>1</v>
      </c>
      <c r="K52" s="15" t="s">
        <v>637</v>
      </c>
      <c r="L52" s="13" t="s">
        <v>637</v>
      </c>
      <c r="M52" s="15">
        <v>142</v>
      </c>
      <c r="N52" s="15">
        <v>180</v>
      </c>
      <c r="O52" s="15">
        <v>180</v>
      </c>
      <c r="P52" s="44"/>
      <c r="Q52" s="15">
        <f t="shared" si="0"/>
        <v>4.32</v>
      </c>
      <c r="R52" s="15">
        <f t="shared" si="5"/>
        <v>4.32</v>
      </c>
      <c r="S52" s="15"/>
      <c r="T52" s="20" t="s">
        <v>680</v>
      </c>
      <c r="U52" s="20" t="s">
        <v>639</v>
      </c>
      <c r="V52" s="20" t="s">
        <v>639</v>
      </c>
      <c r="W52" s="20" t="s">
        <v>641</v>
      </c>
      <c r="X52" s="20" t="s">
        <v>916</v>
      </c>
      <c r="Y52" s="20" t="s">
        <v>640</v>
      </c>
      <c r="Z52" s="20">
        <v>25</v>
      </c>
      <c r="AA52" s="20">
        <v>200</v>
      </c>
      <c r="AB52" s="20" t="s">
        <v>641</v>
      </c>
      <c r="AC52" s="84" t="s">
        <v>640</v>
      </c>
      <c r="AD52" s="20"/>
      <c r="AE52" s="20"/>
      <c r="AF52" s="83" t="s">
        <v>801</v>
      </c>
      <c r="AG52" s="83"/>
    </row>
    <row r="53" spans="1:33" s="1" customFormat="1" ht="30">
      <c r="A53" s="17">
        <f t="shared" si="7"/>
        <v>44</v>
      </c>
      <c r="B53" s="8" t="s">
        <v>799</v>
      </c>
      <c r="C53" s="2" t="s">
        <v>204</v>
      </c>
      <c r="D53" s="2" t="s">
        <v>802</v>
      </c>
      <c r="E53" s="2" t="s">
        <v>634</v>
      </c>
      <c r="F53" s="15">
        <v>1</v>
      </c>
      <c r="G53" s="12" t="s">
        <v>635</v>
      </c>
      <c r="H53" s="10" t="s">
        <v>636</v>
      </c>
      <c r="I53" s="10"/>
      <c r="J53" s="15">
        <v>1</v>
      </c>
      <c r="K53" s="15" t="s">
        <v>637</v>
      </c>
      <c r="L53" s="13" t="s">
        <v>637</v>
      </c>
      <c r="M53" s="15">
        <v>112</v>
      </c>
      <c r="N53" s="15">
        <v>108</v>
      </c>
      <c r="O53" s="15">
        <v>108</v>
      </c>
      <c r="P53" s="44"/>
      <c r="Q53" s="15">
        <f t="shared" si="0"/>
        <v>2.5920000000000001</v>
      </c>
      <c r="R53" s="15">
        <f t="shared" si="5"/>
        <v>2.5920000000000001</v>
      </c>
      <c r="S53" s="15"/>
      <c r="T53" s="20" t="s">
        <v>638</v>
      </c>
      <c r="U53" s="20" t="s">
        <v>639</v>
      </c>
      <c r="V53" s="20" t="s">
        <v>639</v>
      </c>
      <c r="W53" s="20" t="s">
        <v>641</v>
      </c>
      <c r="X53" s="20" t="s">
        <v>940</v>
      </c>
      <c r="Y53" s="20" t="s">
        <v>641</v>
      </c>
      <c r="Z53" s="20" t="s">
        <v>803</v>
      </c>
      <c r="AA53" s="20">
        <v>200</v>
      </c>
      <c r="AB53" s="20" t="s">
        <v>641</v>
      </c>
      <c r="AC53" s="84" t="s">
        <v>640</v>
      </c>
      <c r="AD53" s="20"/>
      <c r="AE53" s="20"/>
      <c r="AF53" s="83" t="s">
        <v>801</v>
      </c>
      <c r="AG53" s="83"/>
    </row>
    <row r="54" spans="1:33" s="1" customFormat="1" ht="48.75">
      <c r="A54" s="17">
        <v>45</v>
      </c>
      <c r="B54" s="46"/>
      <c r="C54" s="2" t="s">
        <v>205</v>
      </c>
      <c r="D54" s="95" t="s">
        <v>941</v>
      </c>
      <c r="E54" s="2" t="s">
        <v>634</v>
      </c>
      <c r="F54" s="15"/>
      <c r="G54" s="48"/>
      <c r="H54" s="49"/>
      <c r="I54" s="49"/>
      <c r="J54" s="47"/>
      <c r="K54" s="47"/>
      <c r="L54" s="50"/>
      <c r="M54" s="47"/>
      <c r="N54" s="15">
        <f>2100*1/24</f>
        <v>87.5</v>
      </c>
      <c r="O54" s="15">
        <f>2100/24</f>
        <v>87.5</v>
      </c>
      <c r="P54" s="33" t="s">
        <v>805</v>
      </c>
      <c r="Q54" s="15">
        <f t="shared" si="0"/>
        <v>2.1</v>
      </c>
      <c r="R54" s="15">
        <f t="shared" si="5"/>
        <v>2.1</v>
      </c>
      <c r="S54" s="15"/>
      <c r="T54" s="20"/>
      <c r="U54" s="20"/>
      <c r="V54" s="20"/>
      <c r="W54" s="20"/>
      <c r="X54" s="20"/>
      <c r="Y54" s="20"/>
      <c r="Z54" s="20"/>
      <c r="AA54" s="20"/>
      <c r="AB54" s="20"/>
      <c r="AC54" s="84" t="s">
        <v>640</v>
      </c>
      <c r="AD54" s="20"/>
      <c r="AE54" s="20"/>
      <c r="AF54" s="87" t="s">
        <v>806</v>
      </c>
      <c r="AG54" s="83" t="s">
        <v>807</v>
      </c>
    </row>
    <row r="55" spans="1:33" ht="30">
      <c r="A55" s="60"/>
      <c r="B55" s="60"/>
      <c r="C55" s="3" t="s">
        <v>942</v>
      </c>
      <c r="D55" s="9" t="s">
        <v>943</v>
      </c>
      <c r="E55" s="2" t="s">
        <v>944</v>
      </c>
      <c r="F55" s="15"/>
      <c r="G55" s="61"/>
      <c r="H55" s="60"/>
      <c r="I55" s="60"/>
      <c r="J55" s="17"/>
      <c r="K55" s="17"/>
      <c r="L55" s="62"/>
      <c r="M55" s="17"/>
      <c r="N55" s="17"/>
      <c r="O55" s="17"/>
      <c r="P55" s="63"/>
      <c r="Q55" s="17"/>
      <c r="R55" s="17"/>
      <c r="S55" s="17" t="s">
        <v>640</v>
      </c>
      <c r="T55" s="17"/>
      <c r="U55" s="17"/>
      <c r="V55" s="17"/>
      <c r="W55" s="17"/>
      <c r="X55" s="17"/>
      <c r="Y55" s="17"/>
      <c r="Z55" s="17"/>
      <c r="AA55" s="17"/>
      <c r="AB55" s="17"/>
      <c r="AC55" s="17"/>
      <c r="AD55" s="17"/>
      <c r="AE55" s="17"/>
      <c r="AF55" s="67" t="s">
        <v>945</v>
      </c>
    </row>
    <row r="56" spans="1:33">
      <c r="M56" s="80"/>
      <c r="N56" s="80"/>
    </row>
    <row r="60" spans="1:33">
      <c r="F60" s="15">
        <v>1</v>
      </c>
      <c r="G60" s="12" t="s">
        <v>635</v>
      </c>
    </row>
    <row r="61" spans="1:33">
      <c r="F61" s="15">
        <v>2</v>
      </c>
      <c r="G61" s="12" t="s">
        <v>663</v>
      </c>
    </row>
    <row r="62" spans="1:33">
      <c r="F62" s="15">
        <v>3</v>
      </c>
      <c r="G62" s="12" t="s">
        <v>647</v>
      </c>
    </row>
    <row r="63" spans="1:33">
      <c r="F63" s="15">
        <v>4</v>
      </c>
      <c r="G63" s="12" t="s">
        <v>686</v>
      </c>
      <c r="O63" s="64"/>
    </row>
    <row r="64" spans="1:33">
      <c r="O64" s="64"/>
    </row>
    <row r="65" spans="15:15">
      <c r="O65" s="65"/>
    </row>
  </sheetData>
  <autoFilter ref="A3:AF56" xr:uid="{00000000-0001-0000-0000-000000000000}"/>
  <conditionalFormatting sqref="O4:O55">
    <cfRule type="colorScale" priority="3">
      <colorScale>
        <cfvo type="min"/>
        <cfvo type="max"/>
        <color rgb="FFFCFCFF"/>
        <color theme="4"/>
      </colorScale>
    </cfRule>
  </conditionalFormatting>
  <conditionalFormatting sqref="F4:F55">
    <cfRule type="colorScale" priority="2">
      <colorScale>
        <cfvo type="min"/>
        <cfvo type="percentile" val="50"/>
        <cfvo type="max"/>
        <color theme="4"/>
        <color rgb="FFBEEA32"/>
        <color theme="5"/>
      </colorScale>
    </cfRule>
  </conditionalFormatting>
  <conditionalFormatting sqref="F60:F63">
    <cfRule type="colorScale" priority="4">
      <colorScale>
        <cfvo type="min"/>
        <cfvo type="percentile" val="50"/>
        <cfvo type="max"/>
        <color theme="4"/>
        <color rgb="FFBEEA32"/>
        <color theme="5"/>
      </colorScale>
    </cfRule>
  </conditionalFormatting>
  <pageMargins left="0.25" right="0.25" top="0.75" bottom="0.75" header="0.3" footer="0.3"/>
  <pageSetup paperSize="8" scale="92" fitToHeight="0"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0EF0-28BE-4A58-ABCF-B22E9245850F}">
  <dimension ref="B2:M48"/>
  <sheetViews>
    <sheetView workbookViewId="0"/>
  </sheetViews>
  <sheetFormatPr defaultColWidth="9.140625" defaultRowHeight="12.75"/>
  <cols>
    <col min="1" max="1" width="9.140625" style="78"/>
    <col min="2" max="2" width="34" style="78" customWidth="1"/>
    <col min="3" max="6" width="16" style="78" customWidth="1"/>
    <col min="7" max="7" width="21.42578125" style="78" customWidth="1"/>
    <col min="8" max="12" width="9.140625" style="78"/>
    <col min="13" max="13" width="11.140625" style="78" customWidth="1"/>
    <col min="14" max="16384" width="9.140625" style="78"/>
  </cols>
  <sheetData>
    <row r="2" spans="2:7">
      <c r="B2" s="77" t="s">
        <v>833</v>
      </c>
      <c r="G2" s="76" t="s">
        <v>834</v>
      </c>
    </row>
    <row r="3" spans="2:7">
      <c r="B3" s="78" t="s">
        <v>835</v>
      </c>
      <c r="C3" s="78" t="s">
        <v>836</v>
      </c>
      <c r="D3" s="78" t="s">
        <v>837</v>
      </c>
      <c r="E3" s="78" t="s">
        <v>838</v>
      </c>
      <c r="F3" s="78" t="s">
        <v>839</v>
      </c>
    </row>
    <row r="4" spans="2:7">
      <c r="B4" s="78" t="s">
        <v>840</v>
      </c>
      <c r="C4" s="118">
        <v>6000</v>
      </c>
      <c r="D4" s="118">
        <v>15000</v>
      </c>
      <c r="E4" s="118">
        <v>30000</v>
      </c>
      <c r="F4" s="118">
        <v>45000</v>
      </c>
      <c r="G4" s="76" t="s">
        <v>841</v>
      </c>
    </row>
    <row r="6" spans="2:7">
      <c r="B6" s="77" t="s">
        <v>842</v>
      </c>
    </row>
    <row r="7" spans="2:7">
      <c r="B7" s="78" t="s">
        <v>281</v>
      </c>
      <c r="C7" s="119">
        <v>17500</v>
      </c>
      <c r="D7" s="119">
        <v>17500</v>
      </c>
      <c r="E7" s="119">
        <v>17500</v>
      </c>
      <c r="F7" s="119">
        <v>17500</v>
      </c>
    </row>
    <row r="8" spans="2:7">
      <c r="B8" s="78" t="s">
        <v>300</v>
      </c>
      <c r="C8" s="119">
        <v>7000</v>
      </c>
      <c r="D8" s="119">
        <v>7000</v>
      </c>
      <c r="E8" s="119">
        <v>7000</v>
      </c>
      <c r="F8" s="119">
        <v>7000</v>
      </c>
    </row>
    <row r="9" spans="2:7">
      <c r="B9" s="78" t="s">
        <v>843</v>
      </c>
      <c r="C9" s="119">
        <v>7500</v>
      </c>
      <c r="D9" s="119">
        <v>7500</v>
      </c>
      <c r="E9" s="119">
        <v>7500</v>
      </c>
      <c r="F9" s="119">
        <v>7500</v>
      </c>
    </row>
    <row r="10" spans="2:7">
      <c r="B10" s="76" t="s">
        <v>844</v>
      </c>
      <c r="C10" s="78">
        <v>600</v>
      </c>
      <c r="D10" s="78">
        <v>1500</v>
      </c>
      <c r="E10" s="78">
        <v>3200</v>
      </c>
      <c r="F10" s="78">
        <v>6500</v>
      </c>
    </row>
    <row r="11" spans="2:7">
      <c r="B11" s="78" t="s">
        <v>846</v>
      </c>
      <c r="C11" s="119">
        <v>7500</v>
      </c>
      <c r="D11" s="119">
        <v>10000</v>
      </c>
      <c r="E11" s="119">
        <v>12500</v>
      </c>
      <c r="F11" s="119">
        <v>15000</v>
      </c>
      <c r="G11" s="76" t="s">
        <v>847</v>
      </c>
    </row>
    <row r="12" spans="2:7">
      <c r="B12" s="76" t="s">
        <v>848</v>
      </c>
      <c r="C12" s="78">
        <v>20</v>
      </c>
      <c r="D12" s="78">
        <v>50</v>
      </c>
      <c r="E12" s="78">
        <v>100</v>
      </c>
      <c r="F12" s="78">
        <v>200</v>
      </c>
    </row>
    <row r="13" spans="2:7">
      <c r="B13" s="78" t="s">
        <v>849</v>
      </c>
      <c r="C13" s="119">
        <v>1500</v>
      </c>
      <c r="D13" s="119">
        <v>3000</v>
      </c>
      <c r="E13" s="119">
        <v>5000</v>
      </c>
      <c r="F13" s="119">
        <v>8000</v>
      </c>
    </row>
    <row r="14" spans="2:7">
      <c r="B14" s="78" t="s">
        <v>280</v>
      </c>
      <c r="C14" s="119">
        <v>5000</v>
      </c>
      <c r="D14" s="119">
        <v>7500</v>
      </c>
      <c r="E14" s="119">
        <v>10000</v>
      </c>
      <c r="F14" s="119">
        <v>12500</v>
      </c>
    </row>
    <row r="15" spans="2:7">
      <c r="B15" s="78" t="s">
        <v>850</v>
      </c>
      <c r="C15" s="119">
        <v>15000</v>
      </c>
      <c r="D15" s="119">
        <v>29000</v>
      </c>
      <c r="E15" s="119">
        <v>43000</v>
      </c>
      <c r="F15" s="119">
        <v>58000</v>
      </c>
    </row>
    <row r="16" spans="2:7">
      <c r="B16" s="78" t="s">
        <v>851</v>
      </c>
      <c r="C16" s="119">
        <v>15000</v>
      </c>
      <c r="D16" s="119">
        <v>17500</v>
      </c>
      <c r="E16" s="119">
        <v>20000</v>
      </c>
      <c r="F16" s="119">
        <v>22500</v>
      </c>
    </row>
    <row r="17" spans="2:13">
      <c r="B17" s="78" t="s">
        <v>853</v>
      </c>
      <c r="C17" s="119">
        <v>43000</v>
      </c>
      <c r="D17" s="119">
        <v>50000</v>
      </c>
      <c r="E17" s="119">
        <v>58000</v>
      </c>
      <c r="F17" s="119">
        <v>65000</v>
      </c>
    </row>
    <row r="18" spans="2:13">
      <c r="B18" s="78" t="s">
        <v>855</v>
      </c>
      <c r="C18" s="119">
        <v>36000</v>
      </c>
      <c r="D18" s="119">
        <v>40000</v>
      </c>
      <c r="E18" s="119">
        <v>43000</v>
      </c>
      <c r="F18" s="119">
        <v>46000</v>
      </c>
    </row>
    <row r="20" spans="2:13">
      <c r="B20" s="78" t="s">
        <v>946</v>
      </c>
      <c r="C20" s="120">
        <v>156000</v>
      </c>
      <c r="D20" s="120">
        <v>191000</v>
      </c>
      <c r="E20" s="120">
        <v>227000</v>
      </c>
      <c r="F20" s="120">
        <v>266000</v>
      </c>
    </row>
    <row r="22" spans="2:13">
      <c r="B22" s="77" t="s">
        <v>858</v>
      </c>
      <c r="K22" s="78" t="s">
        <v>947</v>
      </c>
      <c r="L22" s="78" t="s">
        <v>207</v>
      </c>
      <c r="M22" s="78" t="s">
        <v>948</v>
      </c>
    </row>
    <row r="23" spans="2:13">
      <c r="B23" s="76" t="s">
        <v>859</v>
      </c>
      <c r="K23" s="78">
        <v>6000</v>
      </c>
      <c r="L23" s="78">
        <f>K23/24</f>
        <v>250</v>
      </c>
      <c r="M23" s="120">
        <v>156000</v>
      </c>
    </row>
    <row r="24" spans="2:13">
      <c r="B24" s="76" t="s">
        <v>860</v>
      </c>
      <c r="K24" s="78">
        <v>15000</v>
      </c>
      <c r="L24" s="78">
        <f t="shared" ref="L24:L26" si="0">K24/24</f>
        <v>625</v>
      </c>
      <c r="M24" s="120">
        <v>191000</v>
      </c>
    </row>
    <row r="25" spans="2:13">
      <c r="B25" s="76" t="s">
        <v>861</v>
      </c>
      <c r="K25" s="78">
        <v>30000</v>
      </c>
      <c r="L25" s="78">
        <f t="shared" si="0"/>
        <v>1250</v>
      </c>
      <c r="M25" s="120">
        <v>227000</v>
      </c>
    </row>
    <row r="26" spans="2:13">
      <c r="B26" s="76" t="s">
        <v>292</v>
      </c>
      <c r="K26" s="78">
        <v>45000</v>
      </c>
      <c r="L26" s="78">
        <f t="shared" si="0"/>
        <v>1875</v>
      </c>
      <c r="M26" s="120">
        <v>266000</v>
      </c>
    </row>
    <row r="27" spans="2:13">
      <c r="B27" s="76" t="s">
        <v>862</v>
      </c>
    </row>
    <row r="28" spans="2:13">
      <c r="B28" s="76" t="s">
        <v>863</v>
      </c>
      <c r="L28" s="78">
        <v>300</v>
      </c>
      <c r="M28" s="120">
        <f>L28*65.878+144122</f>
        <v>163885.4</v>
      </c>
    </row>
    <row r="29" spans="2:13">
      <c r="B29" s="76" t="s">
        <v>864</v>
      </c>
      <c r="L29" s="78">
        <v>1320</v>
      </c>
      <c r="M29" s="120">
        <f>L29*65.878+144122</f>
        <v>231080.96000000002</v>
      </c>
    </row>
    <row r="30" spans="2:13">
      <c r="B30" s="76" t="s">
        <v>865</v>
      </c>
      <c r="M30" s="120"/>
    </row>
    <row r="31" spans="2:13">
      <c r="B31" s="76" t="s">
        <v>866</v>
      </c>
    </row>
    <row r="32" spans="2:13">
      <c r="B32" s="76" t="s">
        <v>867</v>
      </c>
    </row>
    <row r="33" spans="2:2">
      <c r="B33" s="76" t="s">
        <v>868</v>
      </c>
    </row>
    <row r="34" spans="2:2">
      <c r="B34" s="76" t="s">
        <v>869</v>
      </c>
    </row>
    <row r="35" spans="2:2">
      <c r="B35" s="76" t="s">
        <v>870</v>
      </c>
    </row>
    <row r="36" spans="2:2">
      <c r="B36" s="76" t="s">
        <v>871</v>
      </c>
    </row>
    <row r="37" spans="2:2">
      <c r="B37" s="76" t="s">
        <v>872</v>
      </c>
    </row>
    <row r="38" spans="2:2">
      <c r="B38" s="76" t="s">
        <v>873</v>
      </c>
    </row>
    <row r="39" spans="2:2">
      <c r="B39" s="76" t="s">
        <v>949</v>
      </c>
    </row>
    <row r="40" spans="2:2">
      <c r="B40" s="76" t="s">
        <v>875</v>
      </c>
    </row>
    <row r="41" spans="2:2">
      <c r="B41" s="76"/>
    </row>
    <row r="42" spans="2:2">
      <c r="B42" s="76"/>
    </row>
    <row r="43" spans="2:2">
      <c r="B43" s="76"/>
    </row>
    <row r="44" spans="2:2">
      <c r="B44" s="76"/>
    </row>
    <row r="45" spans="2:2">
      <c r="B45" s="76"/>
    </row>
    <row r="46" spans="2:2">
      <c r="B46" s="76"/>
    </row>
    <row r="47" spans="2:2">
      <c r="B47" s="76"/>
    </row>
    <row r="48" spans="2:2">
      <c r="B48" s="76"/>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8CD65DFCB6FD40B26AD07DCB89628F" ma:contentTypeVersion="18" ma:contentTypeDescription="Create a new document." ma:contentTypeScope="" ma:versionID="74819780124f3b98ab440dd29b76f37a">
  <xsd:schema xmlns:xsd="http://www.w3.org/2001/XMLSchema" xmlns:xs="http://www.w3.org/2001/XMLSchema" xmlns:p="http://schemas.microsoft.com/office/2006/metadata/properties" xmlns:ns2="7371b0c9-821f-4812-ad62-17bad364b9b2" xmlns:ns3="46ce6685-03ac-4eab-8d3b-771b5d8e8e3c" targetNamespace="http://schemas.microsoft.com/office/2006/metadata/properties" ma:root="true" ma:fieldsID="848e2dfdbe268e3b1fdaba35d00e2e49" ns2:_="" ns3:_="">
    <xsd:import namespace="7371b0c9-821f-4812-ad62-17bad364b9b2"/>
    <xsd:import namespace="46ce6685-03ac-4eab-8d3b-771b5d8e8e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3:SharedWithUsers" minOccurs="0"/>
                <xsd:element ref="ns3:SharedWithDetails" minOccurs="0"/>
                <xsd:element ref="ns2:MediaLengthInSeconds" minOccurs="0"/>
                <xsd:element ref="ns2:Not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71b0c9-821f-4812-ad62-17bad364b9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Notes" ma:index="24" nillable="true" ma:displayName="Notes" ma:format="Dropdown" ma:internalName="Notes">
      <xsd:simpleType>
        <xsd:restriction base="dms:Text">
          <xsd:maxLength value="255"/>
        </xsd:restriction>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ce6685-03ac-4eab-8d3b-771b5d8e8e3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9720df-92f5-46e1-9862-60e44189caee}" ma:internalName="TaxCatchAll" ma:showField="CatchAllData" ma:web="46ce6685-03ac-4eab-8d3b-771b5d8e8e3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e6685-03ac-4eab-8d3b-771b5d8e8e3c" xsi:nil="true"/>
    <Notes xmlns="7371b0c9-821f-4812-ad62-17bad364b9b2" xsi:nil="true"/>
    <lcf76f155ced4ddcb4097134ff3c332f xmlns="7371b0c9-821f-4812-ad62-17bad364b9b2">
      <Terms xmlns="http://schemas.microsoft.com/office/infopath/2007/PartnerControls"/>
    </lcf76f155ced4ddcb4097134ff3c332f>
    <_Flow_SignoffStatus xmlns="7371b0c9-821f-4812-ad62-17bad364b9b2" xsi:nil="true"/>
  </documentManagement>
</p:properties>
</file>

<file path=customXml/itemProps1.xml><?xml version="1.0" encoding="utf-8"?>
<ds:datastoreItem xmlns:ds="http://schemas.openxmlformats.org/officeDocument/2006/customXml" ds:itemID="{2D8B3F0C-5A0B-4C0A-8FFE-1CB39F0D0B16}">
  <ds:schemaRefs>
    <ds:schemaRef ds:uri="http://schemas.microsoft.com/sharepoint/v3/contenttype/forms"/>
  </ds:schemaRefs>
</ds:datastoreItem>
</file>

<file path=customXml/itemProps2.xml><?xml version="1.0" encoding="utf-8"?>
<ds:datastoreItem xmlns:ds="http://schemas.openxmlformats.org/officeDocument/2006/customXml" ds:itemID="{177ECE9A-5B2D-4B0A-AE52-84126E0C9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71b0c9-821f-4812-ad62-17bad364b9b2"/>
    <ds:schemaRef ds:uri="46ce6685-03ac-4eab-8d3b-771b5d8e8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DF737-3C15-4836-A3C0-0011FC08128F}">
  <ds:schemaRefs>
    <ds:schemaRef ds:uri="http://schemas.microsoft.com/office/2006/metadata/properties"/>
    <ds:schemaRef ds:uri="http://purl.org/dc/terms/"/>
    <ds:schemaRef ds:uri="7371b0c9-821f-4812-ad62-17bad364b9b2"/>
    <ds:schemaRef ds:uri="http://schemas.microsoft.com/office/2006/documentManagement/types"/>
    <ds:schemaRef ds:uri="46ce6685-03ac-4eab-8d3b-771b5d8e8e3c"/>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Overview</vt:lpstr>
      <vt:lpstr>Comment Tracking</vt:lpstr>
      <vt:lpstr>Estimate Summary</vt:lpstr>
      <vt:lpstr>Estimate Breakdown</vt:lpstr>
      <vt:lpstr>Schedule </vt:lpstr>
      <vt:lpstr>Inflation Review</vt:lpstr>
      <vt:lpstr>Chemical Sizing</vt:lpstr>
      <vt:lpstr>PS List with Markup Factors</vt:lpstr>
      <vt:lpstr>Vendor Quotes</vt:lpstr>
      <vt:lpstr>PS Pivot</vt:lpstr>
      <vt:lpstr>Original PS List</vt:lpstr>
      <vt:lpstr>Filtec Costing Raw</vt:lpstr>
      <vt:lpstr>'Comment Tracking'!Print_Area</vt:lpstr>
      <vt:lpstr>'Comment Tracking'!Print_Titles</vt:lpstr>
    </vt:vector>
  </TitlesOfParts>
  <Manager/>
  <Company>Christchurch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McDonald, Michele</dc:creator>
  <cp:keywords/>
  <dc:description/>
  <cp:lastModifiedBy>Josh Wong</cp:lastModifiedBy>
  <cp:revision/>
  <dcterms:created xsi:type="dcterms:W3CDTF">2022-02-01T03:45:41Z</dcterms:created>
  <dcterms:modified xsi:type="dcterms:W3CDTF">2022-11-22T21:51:17Z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0x010100CA8CD65DFCB6FD40B26AD07DCB89628F</vt:lpwstr>
  </property>
  <property fmtid="{D5CDD505-2E9C-101B-9397-08002B2CF9AE}" pid="3" name="MediaServiceImageTags">
    <vt:lpwstr/>
  </property>
</Properties>
</file>